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<sst xmlns="http://schemas.openxmlformats.org/spreadsheetml/2006/main" count="194" uniqueCount="192">
  <si>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</si>
  <si>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</si>
  <si>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</si>
  <si>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</si>
  <si>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</si>
  <si>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</si>
  <si>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</si>
  <si>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</si>
  <si>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</si>
  <si>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</si>
  <si>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</si>
  <si>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</si>
  <si>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</si>
  <si>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</si>
  <si>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</si>
  <si>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</si>
  <si>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</si>
  <si>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</si>
  <si>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</si>
  <si>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</si>
  <si>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</si>
  <si>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</si>
  <si>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</si>
  <si>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</si>
  <si>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</si>
  <si>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</si>
  <si>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</si>
  <si>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</si>
  <si>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</si>
  <si>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</si>
  <si>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</si>
  <si>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</si>
  <si>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</si>
  <si>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</si>
  <si>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</si>
  <si>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</si>
  <si>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</si>
  <si>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</si>
  <si>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</si>
  <si>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</si>
  <si>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</si>
  <si>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</si>
  <si>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</si>
  <si>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</si>
  <si>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</si>
  <si>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</si>
  <si>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</si>
  <si>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</si>
  <si>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</si>
  <si>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</si>
  <si>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</si>
  <si>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</si>
  <si>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</si>
  <si>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</si>
  <si>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</si>
  <si>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</si>
  <si>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</si>
  <si>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</si>
  <si>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</si>
  <si>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</si>
  <si>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</si>
  <si>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</si>
  <si>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</si>
  <si>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</si>
  <si>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</si>
  <si>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</si>
  <si>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</si>
  <si>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</si>
  <si>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</si>
  <si>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</si>
  <si>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</si>
  <si>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</si>
  <si>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</si>
  <si>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</si>
  <si>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</si>
  <si>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</si>
  <si>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</si>
  <si>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</si>
  <si>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</si>
  <si>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</si>
  <si>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</si>
  <si>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</si>
  <si>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</si>
  <si>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</si>
  <si>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</si>
  <si>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</si>
  <si>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</si>
  <si>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</si>
  <si>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</si>
  <si>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</si>
  <si>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</si>
  <si>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</si>
  <si>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</si>
  <si>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</si>
  <si>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</si>
  <si>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</si>
  <si>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</si>
  <si>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</si>
  <si>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</si>
  <si>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</si>
  <si>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</si>
  <si>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</si>
  <si>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</si>
  <si>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</si>
  <si>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</si>
  <si>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</si>
  <si>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</si>
  <si>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</si>
  <si>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</si>
  <si>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</si>
  <si>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</si>
  <si>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</si>
  <si>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</si>
  <si>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</si>
  <si>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</si>
  <si>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</si>
  <si>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</si>
  <si>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</si>
  <si>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</si>
  <si>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</si>
  <si>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</si>
  <si>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</si>
  <si>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</si>
  <si>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</si>
  <si>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</si>
  <si>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</si>
  <si>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</si>
  <si>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</si>
  <si>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</si>
  <si>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</si>
  <si>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</si>
  <si>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</si>
  <si>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</si>
  <si>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</si>
  <si>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</si>
  <si>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</si>
  <si>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</si>
  <si>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</si>
  <si>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</si>
  <si>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</si>
  <si>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</si>
  <si>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</si>
  <si>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</si>
  <si>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</si>
  <si>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</si>
  <si>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</si>
  <si>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</si>
  <si>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</si>
  <si>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</si>
  <si>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</si>
  <si>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</si>
  <si>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</si>
  <si>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</si>
  <si>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</si>
  <si>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</si>
  <si>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</si>
  <si>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</si>
  <si>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</si>
  <si>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</si>
  <si>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</si>
  <si>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</si>
  <si>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</si>
  <si>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</si>
  <si>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</si>
  <si>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</si>
  <si>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</si>
  <si>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</si>
  <si>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</si>
  <si>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</si>
  <si>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</si>
  <si>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</si>
  <si>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</si>
  <si>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</si>
  <si>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</si>
  <si>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</si>
  <si>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</si>
  <si>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</si>
  <si>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</si>
  <si>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</si>
  <si>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</si>
  <si>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</si>
  <si>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</si>
  <si>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</si>
  <si>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</si>
  <si>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</si>
  <si>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</si>
  <si>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</si>
  <si>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</si>
  <si>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</si>
  <si>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6 місяців</t>
  </si>
  <si>
    <t>Відсоток виконання до плану 6 місяців</t>
  </si>
  <si>
    <t>Профінансовано станом на 13.06.17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</si>
</sst>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 vertical="center" wrapText="1"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5" fillId="0" borderId="12" xfId="87" applyFont="1" applyBorder="1" applyAlignment="1">
      <alignment horizont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4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3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3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4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C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4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89" t="s">
        <v>21</v>
      </c>
      <c r="B2" s="89"/>
      <c r="C2" s="89"/>
      <c r="D2" s="89"/>
      <c r="E2" s="89"/>
      <c r="F2" s="89"/>
      <c r="G2" s="89"/>
    </row>
    <row r="3" spans="1:7" ht="20.25" customHeight="1">
      <c r="A3" s="90" t="s">
        <v>3</v>
      </c>
      <c r="B3" s="90"/>
      <c r="C3" s="90"/>
      <c r="D3" s="90"/>
      <c r="E3" s="90"/>
      <c r="F3" s="90"/>
      <c r="G3" s="90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1" t="s">
        <v>7</v>
      </c>
      <c r="B5" s="11"/>
      <c r="C5" s="91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191</v>
      </c>
      <c r="I5" s="77" t="s">
        <v>27</v>
      </c>
      <c r="J5" s="77" t="s">
        <v>190</v>
      </c>
    </row>
    <row r="6" spans="1:25" ht="35.25" customHeight="1">
      <c r="A6" s="92"/>
      <c r="B6" s="14" t="s">
        <v>8</v>
      </c>
      <c r="C6" s="92"/>
      <c r="D6" s="83"/>
      <c r="E6" s="83"/>
      <c r="F6" s="83"/>
      <c r="G6" s="12" t="s">
        <v>25</v>
      </c>
      <c r="H6" s="83"/>
      <c r="I6" s="78"/>
      <c r="J6" s="78"/>
      <c r="L6" s="84" t="s">
        <v>189</v>
      </c>
      <c r="M6" s="77" t="s">
        <v>28</v>
      </c>
      <c r="N6" s="86" t="s">
        <v>29</v>
      </c>
      <c r="O6" s="77" t="s">
        <v>30</v>
      </c>
      <c r="P6" s="77" t="s">
        <v>31</v>
      </c>
      <c r="Q6" s="77" t="s">
        <v>32</v>
      </c>
      <c r="R6" s="77" t="s">
        <v>33</v>
      </c>
      <c r="S6" s="77" t="s">
        <v>34</v>
      </c>
      <c r="T6" s="77" t="s">
        <v>35</v>
      </c>
      <c r="U6" s="77" t="s">
        <v>36</v>
      </c>
      <c r="V6" s="77" t="s">
        <v>37</v>
      </c>
      <c r="W6" s="77" t="s">
        <v>38</v>
      </c>
      <c r="X6" s="77" t="s">
        <v>39</v>
      </c>
      <c r="Y6" s="77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5"/>
      <c r="M7" s="78"/>
      <c r="N7" s="8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15" customFormat="1" ht="19.5" customHeight="1">
      <c r="A8" s="93" t="s">
        <v>11</v>
      </c>
      <c r="B8" s="76"/>
      <c r="C8" s="76"/>
      <c r="D8" s="76"/>
      <c r="E8" s="76"/>
      <c r="F8" s="76"/>
      <c r="G8" s="76"/>
      <c r="H8" s="76"/>
      <c r="I8" s="76"/>
      <c r="J8" s="94"/>
      <c r="L8" s="39"/>
      <c r="M8" s="39"/>
      <c r="N8" s="55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9" ht="18">
      <c r="A9" s="16">
        <v>1</v>
      </c>
      <c r="B9" s="17"/>
      <c r="C9" s="18" t="s">
        <v>26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42750037.47</v>
      </c>
      <c r="I9" s="45">
        <f aca="true" t="shared" si="0" ref="I9:I14">H9/D9*100</f>
        <v>28.517491563349328</v>
      </c>
      <c r="J9" s="43">
        <f>H9/(M9+N9+O9+N26+O26+P9+P26+Q9)*100</f>
        <v>97.24250874326762</v>
      </c>
      <c r="K9" s="38"/>
      <c r="L9" s="73">
        <f>H10-(M9+N9+O9+P9+Q9+R9)</f>
        <v>-2610245.6999999974</v>
      </c>
      <c r="M9" s="42">
        <f>M10+M18</f>
        <v>5500800</v>
      </c>
      <c r="N9" s="56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2219352.8499999996</v>
      </c>
      <c r="S9" s="42">
        <f t="shared" si="1"/>
        <v>2982982.15</v>
      </c>
      <c r="T9" s="42">
        <f t="shared" si="1"/>
        <v>8580059.120000001</v>
      </c>
      <c r="U9" s="42">
        <f t="shared" si="1"/>
        <v>6506032</v>
      </c>
      <c r="V9" s="42">
        <f t="shared" si="1"/>
        <v>10261295</v>
      </c>
      <c r="W9" s="42">
        <f t="shared" si="1"/>
        <v>5487556</v>
      </c>
      <c r="X9" s="42">
        <f t="shared" si="1"/>
        <v>10772589</v>
      </c>
      <c r="Y9" s="22">
        <f>SUM(M9:X9)</f>
        <v>63739000</v>
      </c>
      <c r="Z9" s="41">
        <f>Y9-D9</f>
        <v>-86169127</v>
      </c>
      <c r="AC9" s="41"/>
    </row>
    <row r="10" spans="1:26" ht="18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16538241.03</v>
      </c>
      <c r="I10" s="46">
        <f t="shared" si="0"/>
        <v>25.946815968245502</v>
      </c>
      <c r="J10" s="44">
        <f>H10/(M9+N9+O9+P9)*100</f>
        <v>112.07074112988326</v>
      </c>
      <c r="L10" s="73">
        <f>(H11+H13+H14+H15+H16+H17)-(M10+N10+O10+P10+Q10-R10)</f>
        <v>1070093.5099999998</v>
      </c>
      <c r="M10" s="24">
        <f>5000800+300000</f>
        <v>5300800</v>
      </c>
      <c r="N10" s="57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</f>
        <v>799352.8499999996</v>
      </c>
      <c r="S10" s="24">
        <f>2350000+153400+1588862+154880-3115359.85</f>
        <v>1131782.15</v>
      </c>
      <c r="T10" s="24">
        <f>2350000+281395.12+300000+268808+143500+304000+1000000+349566+1951598</f>
        <v>6948867.12</v>
      </c>
      <c r="U10" s="24">
        <f>2350000+408828+545700+317900+70000+1622432</f>
        <v>5314860</v>
      </c>
      <c r="V10" s="24">
        <f>2350000+500000+533039+1073600+1005900+69000+344670+516924+108451+2892750</f>
        <v>9394334</v>
      </c>
      <c r="W10" s="24">
        <f>1900000+608828+700000+112000+300000+28400+184000+1163156</f>
        <v>4996384</v>
      </c>
      <c r="X10" s="24">
        <f>4750000+100000+85000+260285+2047400+307400+240000+424039+255000+186000+1542750</f>
        <v>10197874</v>
      </c>
      <c r="Y10" s="22">
        <f>SUM(M10:X10)</f>
        <v>49682800</v>
      </c>
      <c r="Z10" s="41">
        <f>Y10-D11-D13-D14-D15-D16-D17</f>
        <v>0</v>
      </c>
    </row>
    <row r="11" spans="1:26" ht="18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79">
        <f>(H11+H13+H14+H15+H16+H17)/(M10+N10+O10+P10+Q10)*100</f>
        <v>102.48400833390197</v>
      </c>
      <c r="L11" s="73"/>
      <c r="M11" s="24"/>
      <c r="N11" s="5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80"/>
      <c r="L12" s="73"/>
      <c r="M12" s="24"/>
      <c r="N12" s="5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80"/>
      <c r="L13" s="73"/>
      <c r="M13" s="24"/>
      <c r="N13" s="5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</f>
        <v>1881129.1099999999</v>
      </c>
      <c r="I14" s="48">
        <f t="shared" si="0"/>
        <v>45.572902675946324</v>
      </c>
      <c r="J14" s="80"/>
      <c r="L14" s="73"/>
      <c r="M14" s="24"/>
      <c r="N14" s="57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aca="true" t="shared" si="4" ref="I15:I25">H15/D15*100</f>
        <v>32.54819315033997</v>
      </c>
      <c r="J15" s="80"/>
      <c r="L15" s="73"/>
      <c r="M15" s="24"/>
      <c r="N15" s="57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4"/>
        <v>0</v>
      </c>
      <c r="J16" s="80"/>
      <c r="L16" s="73"/>
      <c r="M16" s="24"/>
      <c r="N16" s="5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8">
        <f t="shared" si="4"/>
        <v>23.161655285854852</v>
      </c>
      <c r="J17" s="81"/>
      <c r="L17" s="73"/>
      <c r="M17" s="24"/>
      <c r="N17" s="57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6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5368154.49</v>
      </c>
      <c r="I18" s="48">
        <f t="shared" si="4"/>
        <v>38.19065245229863</v>
      </c>
      <c r="J18" s="79">
        <f>H18/(M18+N18+O18+P18+Q18)*100</f>
        <v>89.02725087515515</v>
      </c>
      <c r="L18" s="73">
        <f>H18-(M18+N18+O18+P18+Q18+R18)</f>
        <v>-2081633.5099999998</v>
      </c>
      <c r="M18" s="24">
        <f>500000-300000</f>
        <v>200000</v>
      </c>
      <c r="N18" s="57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655000-260285+180000</f>
        <v>574715</v>
      </c>
      <c r="Y18" s="22">
        <f>SUM(M18:X18)</f>
        <v>14056200</v>
      </c>
      <c r="Z18" s="41">
        <f>Y18-D18</f>
        <v>0</v>
      </c>
    </row>
    <row r="19" spans="1:25" ht="18">
      <c r="A19" s="1"/>
      <c r="B19" s="20"/>
      <c r="C19" s="25" t="s">
        <v>18</v>
      </c>
      <c r="D19" s="26">
        <f aca="true" t="shared" si="5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</f>
        <v>2265090.63</v>
      </c>
      <c r="I19" s="48">
        <f t="shared" si="4"/>
        <v>68.21460842466396</v>
      </c>
      <c r="J19" s="80"/>
      <c r="L19" s="73"/>
      <c r="M19" s="24"/>
      <c r="N19" s="57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">
      <c r="A20" s="1"/>
      <c r="B20" s="20"/>
      <c r="C20" s="25" t="s">
        <v>19</v>
      </c>
      <c r="D20" s="26">
        <f t="shared" si="5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4"/>
        <v>18.844064842277096</v>
      </c>
      <c r="J20" s="80"/>
      <c r="L20" s="73"/>
      <c r="M20" s="24"/>
      <c r="N20" s="57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">
      <c r="A21" s="1"/>
      <c r="B21" s="20"/>
      <c r="C21" s="25" t="s">
        <v>20</v>
      </c>
      <c r="D21" s="26">
        <f t="shared" si="5"/>
        <v>648920</v>
      </c>
      <c r="E21" s="26">
        <v>648920</v>
      </c>
      <c r="F21" s="26"/>
      <c r="G21" s="27"/>
      <c r="H21" s="40"/>
      <c r="I21" s="49">
        <f t="shared" si="4"/>
        <v>0</v>
      </c>
      <c r="J21" s="80"/>
      <c r="L21" s="73"/>
      <c r="M21" s="24"/>
      <c r="N21" s="57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6">
      <c r="A22" s="1"/>
      <c r="B22" s="20"/>
      <c r="C22" s="25" t="s">
        <v>9</v>
      </c>
      <c r="D22" s="26">
        <f t="shared" si="5"/>
        <v>1112450</v>
      </c>
      <c r="E22" s="26">
        <v>1112450</v>
      </c>
      <c r="F22" s="26"/>
      <c r="G22" s="27"/>
      <c r="H22" s="24">
        <f>32642.66+205118.63+15078+86000.71+13880+22980+15703+42945.76+29045.7+560+15660.22+21672</f>
        <v>501286.68</v>
      </c>
      <c r="I22" s="48">
        <f t="shared" si="4"/>
        <v>45.06150208998157</v>
      </c>
      <c r="J22" s="80"/>
      <c r="L22" s="73"/>
      <c r="M22" s="24"/>
      <c r="N22" s="57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">
      <c r="A23" s="1"/>
      <c r="B23" s="20"/>
      <c r="C23" s="25" t="s">
        <v>10</v>
      </c>
      <c r="D23" s="26">
        <f t="shared" si="5"/>
        <v>325445</v>
      </c>
      <c r="E23" s="26">
        <v>325445</v>
      </c>
      <c r="F23" s="26"/>
      <c r="G23" s="27"/>
      <c r="H23" s="24">
        <f>153000</f>
        <v>153000</v>
      </c>
      <c r="I23" s="49">
        <f t="shared" si="4"/>
        <v>47.0125520441242</v>
      </c>
      <c r="J23" s="80"/>
      <c r="L23" s="73"/>
      <c r="M23" s="24"/>
      <c r="N23" s="5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5"/>
        <v>136095</v>
      </c>
      <c r="E24" s="26">
        <v>136095</v>
      </c>
      <c r="F24" s="26"/>
      <c r="G24" s="27"/>
      <c r="H24" s="24">
        <v>133296</v>
      </c>
      <c r="I24" s="49">
        <f t="shared" si="4"/>
        <v>97.9433483963408</v>
      </c>
      <c r="J24" s="80"/>
      <c r="L24" s="73"/>
      <c r="M24" s="24"/>
      <c r="N24" s="5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5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</f>
        <v>1004115.17</v>
      </c>
      <c r="I25" s="48">
        <f t="shared" si="4"/>
        <v>64.62676979160901</v>
      </c>
      <c r="J25" s="81"/>
      <c r="L25" s="73"/>
      <c r="M25" s="24"/>
      <c r="N25" s="57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26211796.44</v>
      </c>
      <c r="I26" s="22">
        <f>H26/D26*100</f>
        <v>30.41901125446008</v>
      </c>
      <c r="J26" s="46">
        <f>H26/(N26+O26+P26+Q26)*100</f>
        <v>76.61168775730637</v>
      </c>
      <c r="L26" s="73">
        <f>H26-(M26+N26+O26+P26+Q26+R26)</f>
        <v>-10832038.559999999</v>
      </c>
      <c r="M26" s="51"/>
      <c r="N26" s="22">
        <f>SUM(N27:N137)</f>
        <v>894745</v>
      </c>
      <c r="O26" s="22">
        <f aca="true" t="shared" si="6" ref="O26:W26">SUM(O27:O137)</f>
        <v>20418579</v>
      </c>
      <c r="P26" s="22">
        <f t="shared" si="6"/>
        <v>5719836</v>
      </c>
      <c r="Q26" s="22">
        <f t="shared" si="6"/>
        <v>7180675</v>
      </c>
      <c r="R26" s="22">
        <f t="shared" si="6"/>
        <v>2830000</v>
      </c>
      <c r="S26" s="22">
        <f t="shared" si="6"/>
        <v>6780150</v>
      </c>
      <c r="T26" s="22">
        <f t="shared" si="6"/>
        <v>13107715</v>
      </c>
      <c r="U26" s="22">
        <f t="shared" si="6"/>
        <v>5743854</v>
      </c>
      <c r="V26" s="22">
        <f t="shared" si="6"/>
        <v>10492427</v>
      </c>
      <c r="W26" s="22">
        <f t="shared" si="6"/>
        <v>6262856</v>
      </c>
      <c r="X26" s="22">
        <f>SUM(X27:X137)</f>
        <v>6738290</v>
      </c>
      <c r="Y26" s="22">
        <f>SUM(Y27:Y137)</f>
        <v>86169127</v>
      </c>
      <c r="Z26" s="41">
        <f aca="true" t="shared" si="7" ref="Z26:Z44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8" ref="F27:F89">G27</f>
        <v>767000</v>
      </c>
      <c r="G27" s="64">
        <v>767000</v>
      </c>
      <c r="H27" s="22"/>
      <c r="I27" s="49">
        <f>H27/D27*100</f>
        <v>0</v>
      </c>
      <c r="J27" s="66" t="e">
        <f>H27/(N27+O27+P27+Q27)*100</f>
        <v>#DIV/0!</v>
      </c>
      <c r="L27" s="73">
        <f aca="true" t="shared" si="9" ref="L27:L90">H27-(M27+N27+O27+P27+Q27+R27)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41">
        <f t="shared" si="7"/>
        <v>0</v>
      </c>
    </row>
    <row r="28" spans="1:26" ht="26.25" customHeight="1">
      <c r="A28" s="1"/>
      <c r="B28" s="20"/>
      <c r="C28" s="68" t="s">
        <v>80</v>
      </c>
      <c r="D28" s="69">
        <f aca="true" t="shared" si="10" ref="D28:D89">G28</f>
        <v>80000</v>
      </c>
      <c r="E28" s="70"/>
      <c r="F28" s="69">
        <f t="shared" si="8"/>
        <v>80000</v>
      </c>
      <c r="G28" s="64">
        <v>80000</v>
      </c>
      <c r="H28" s="22"/>
      <c r="I28" s="49">
        <f aca="true" t="shared" si="11" ref="I28:I90">H28/D28*100</f>
        <v>0</v>
      </c>
      <c r="J28" s="66" t="e">
        <f aca="true" t="shared" si="12" ref="J28:J91">H28/(N28+O28+P28+Q28)*100</f>
        <v>#DIV/0!</v>
      </c>
      <c r="L28" s="73">
        <f t="shared" si="9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3" ref="Y28:Y90">SUM(M28:X28)</f>
        <v>80000</v>
      </c>
      <c r="Z28" s="41">
        <f t="shared" si="7"/>
        <v>0</v>
      </c>
    </row>
    <row r="29" spans="1:26" ht="26.25" customHeight="1">
      <c r="A29" s="1"/>
      <c r="B29" s="20"/>
      <c r="C29" s="68" t="s">
        <v>81</v>
      </c>
      <c r="D29" s="69">
        <f t="shared" si="10"/>
        <v>140000</v>
      </c>
      <c r="E29" s="70"/>
      <c r="F29" s="69">
        <f t="shared" si="8"/>
        <v>140000</v>
      </c>
      <c r="G29" s="64">
        <v>140000</v>
      </c>
      <c r="H29" s="22"/>
      <c r="I29" s="49">
        <f t="shared" si="11"/>
        <v>0</v>
      </c>
      <c r="J29" s="66" t="e">
        <f t="shared" si="12"/>
        <v>#DIV/0!</v>
      </c>
      <c r="L29" s="73">
        <f t="shared" si="9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3"/>
        <v>140000</v>
      </c>
      <c r="Z29" s="41">
        <f t="shared" si="7"/>
        <v>0</v>
      </c>
    </row>
    <row r="30" spans="1:26" ht="26.25" customHeight="1">
      <c r="A30" s="1"/>
      <c r="B30" s="20"/>
      <c r="C30" s="68" t="s">
        <v>82</v>
      </c>
      <c r="D30" s="69">
        <f t="shared" si="10"/>
        <v>153400</v>
      </c>
      <c r="E30" s="70"/>
      <c r="F30" s="69">
        <f t="shared" si="8"/>
        <v>153400</v>
      </c>
      <c r="G30" s="64">
        <v>153400</v>
      </c>
      <c r="H30" s="22"/>
      <c r="I30" s="49">
        <f t="shared" si="11"/>
        <v>0</v>
      </c>
      <c r="J30" s="66" t="e">
        <f t="shared" si="12"/>
        <v>#DIV/0!</v>
      </c>
      <c r="L30" s="73">
        <f t="shared" si="9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3"/>
        <v>153400</v>
      </c>
      <c r="Z30" s="41">
        <f t="shared" si="7"/>
        <v>0</v>
      </c>
    </row>
    <row r="31" spans="1:26" ht="26.25" customHeight="1">
      <c r="A31" s="1"/>
      <c r="B31" s="20"/>
      <c r="C31" s="68" t="s">
        <v>83</v>
      </c>
      <c r="D31" s="69">
        <f t="shared" si="10"/>
        <v>153400</v>
      </c>
      <c r="E31" s="70"/>
      <c r="F31" s="69">
        <f t="shared" si="8"/>
        <v>153400</v>
      </c>
      <c r="G31" s="64">
        <v>153400</v>
      </c>
      <c r="H31" s="22"/>
      <c r="I31" s="49">
        <f t="shared" si="11"/>
        <v>0</v>
      </c>
      <c r="J31" s="66" t="e">
        <f t="shared" si="12"/>
        <v>#DIV/0!</v>
      </c>
      <c r="L31" s="73">
        <f t="shared" si="9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3"/>
        <v>153400</v>
      </c>
      <c r="Z31" s="41">
        <f t="shared" si="7"/>
        <v>0</v>
      </c>
    </row>
    <row r="32" spans="1:26" ht="26.25" customHeight="1">
      <c r="A32" s="1"/>
      <c r="B32" s="20"/>
      <c r="C32" s="68" t="s">
        <v>176</v>
      </c>
      <c r="D32" s="69">
        <f t="shared" si="10"/>
        <v>200000</v>
      </c>
      <c r="E32" s="70"/>
      <c r="F32" s="69">
        <f t="shared" si="8"/>
        <v>200000</v>
      </c>
      <c r="G32" s="64">
        <v>200000</v>
      </c>
      <c r="H32" s="22"/>
      <c r="I32" s="49">
        <f t="shared" si="11"/>
        <v>0</v>
      </c>
      <c r="J32" s="66" t="e">
        <f t="shared" si="12"/>
        <v>#DIV/0!</v>
      </c>
      <c r="L32" s="73">
        <f t="shared" si="9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3"/>
        <v>200000</v>
      </c>
      <c r="Z32" s="41">
        <f t="shared" si="7"/>
        <v>0</v>
      </c>
    </row>
    <row r="33" spans="1:26" ht="26.25" customHeight="1">
      <c r="A33" s="1"/>
      <c r="B33" s="20"/>
      <c r="C33" s="68" t="s">
        <v>177</v>
      </c>
      <c r="D33" s="69">
        <f t="shared" si="10"/>
        <v>200000</v>
      </c>
      <c r="E33" s="70"/>
      <c r="F33" s="69">
        <f t="shared" si="8"/>
        <v>200000</v>
      </c>
      <c r="G33" s="64">
        <v>200000</v>
      </c>
      <c r="H33" s="22"/>
      <c r="I33" s="49">
        <f t="shared" si="11"/>
        <v>0</v>
      </c>
      <c r="J33" s="66" t="e">
        <f t="shared" si="12"/>
        <v>#DIV/0!</v>
      </c>
      <c r="L33" s="73">
        <f t="shared" si="9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3"/>
        <v>200000</v>
      </c>
      <c r="Z33" s="41">
        <f t="shared" si="7"/>
        <v>0</v>
      </c>
    </row>
    <row r="34" spans="1:26" ht="26.25" customHeight="1">
      <c r="A34" s="1"/>
      <c r="B34" s="20"/>
      <c r="C34" s="68" t="s">
        <v>84</v>
      </c>
      <c r="D34" s="69">
        <f t="shared" si="10"/>
        <v>100000</v>
      </c>
      <c r="E34" s="70"/>
      <c r="F34" s="69">
        <f t="shared" si="8"/>
        <v>100000</v>
      </c>
      <c r="G34" s="64">
        <v>100000</v>
      </c>
      <c r="H34" s="22"/>
      <c r="I34" s="49">
        <f t="shared" si="11"/>
        <v>0</v>
      </c>
      <c r="J34" s="66" t="e">
        <f t="shared" si="12"/>
        <v>#DIV/0!</v>
      </c>
      <c r="L34" s="73">
        <f t="shared" si="9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3"/>
        <v>100000</v>
      </c>
      <c r="Z34" s="41">
        <f t="shared" si="7"/>
        <v>0</v>
      </c>
    </row>
    <row r="35" spans="1:26" ht="26.25" customHeight="1">
      <c r="A35" s="1"/>
      <c r="B35" s="20"/>
      <c r="C35" s="68" t="s">
        <v>85</v>
      </c>
      <c r="D35" s="69">
        <f t="shared" si="10"/>
        <v>100000</v>
      </c>
      <c r="E35" s="70"/>
      <c r="F35" s="69">
        <f t="shared" si="8"/>
        <v>100000</v>
      </c>
      <c r="G35" s="64">
        <v>100000</v>
      </c>
      <c r="H35" s="22"/>
      <c r="I35" s="49">
        <f t="shared" si="11"/>
        <v>0</v>
      </c>
      <c r="J35" s="66" t="e">
        <f t="shared" si="12"/>
        <v>#DIV/0!</v>
      </c>
      <c r="L35" s="73">
        <f t="shared" si="9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3"/>
        <v>100000</v>
      </c>
      <c r="Z35" s="41">
        <f t="shared" si="7"/>
        <v>0</v>
      </c>
    </row>
    <row r="36" spans="1:26" ht="26.25" customHeight="1">
      <c r="A36" s="1"/>
      <c r="B36" s="20"/>
      <c r="C36" s="68" t="s">
        <v>86</v>
      </c>
      <c r="D36" s="69">
        <f t="shared" si="10"/>
        <v>225600</v>
      </c>
      <c r="E36" s="70"/>
      <c r="F36" s="69">
        <f t="shared" si="8"/>
        <v>225600</v>
      </c>
      <c r="G36" s="64">
        <v>225600</v>
      </c>
      <c r="H36" s="22"/>
      <c r="I36" s="49">
        <f t="shared" si="11"/>
        <v>0</v>
      </c>
      <c r="J36" s="66" t="e">
        <f t="shared" si="12"/>
        <v>#DIV/0!</v>
      </c>
      <c r="L36" s="73">
        <f t="shared" si="9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3"/>
        <v>225600</v>
      </c>
      <c r="Z36" s="41">
        <f t="shared" si="7"/>
        <v>0</v>
      </c>
    </row>
    <row r="37" spans="1:26" ht="26.25" customHeight="1">
      <c r="A37" s="1"/>
      <c r="B37" s="20"/>
      <c r="C37" s="68" t="s">
        <v>87</v>
      </c>
      <c r="D37" s="69">
        <f t="shared" si="10"/>
        <v>225700</v>
      </c>
      <c r="E37" s="70"/>
      <c r="F37" s="69">
        <f t="shared" si="8"/>
        <v>225700</v>
      </c>
      <c r="G37" s="64">
        <v>225700</v>
      </c>
      <c r="H37" s="22"/>
      <c r="I37" s="49">
        <f t="shared" si="11"/>
        <v>0</v>
      </c>
      <c r="J37" s="66" t="e">
        <f t="shared" si="12"/>
        <v>#DIV/0!</v>
      </c>
      <c r="L37" s="73">
        <f t="shared" si="9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3"/>
        <v>225700</v>
      </c>
      <c r="Z37" s="41">
        <f t="shared" si="7"/>
        <v>0</v>
      </c>
    </row>
    <row r="38" spans="1:26" ht="37.5" customHeight="1">
      <c r="A38" s="1"/>
      <c r="B38" s="20"/>
      <c r="C38" s="68" t="s">
        <v>88</v>
      </c>
      <c r="D38" s="69">
        <f t="shared" si="10"/>
        <v>600000</v>
      </c>
      <c r="E38" s="70"/>
      <c r="F38" s="69">
        <f t="shared" si="8"/>
        <v>600000</v>
      </c>
      <c r="G38" s="64">
        <v>600000</v>
      </c>
      <c r="H38" s="22"/>
      <c r="I38" s="49">
        <f t="shared" si="11"/>
        <v>0</v>
      </c>
      <c r="J38" s="66" t="e">
        <f t="shared" si="12"/>
        <v>#DIV/0!</v>
      </c>
      <c r="L38" s="73">
        <f t="shared" si="9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3"/>
        <v>600000</v>
      </c>
      <c r="Z38" s="41">
        <f t="shared" si="7"/>
        <v>0</v>
      </c>
    </row>
    <row r="39" spans="1:26" ht="26.25" customHeight="1">
      <c r="A39" s="1"/>
      <c r="B39" s="20"/>
      <c r="C39" s="68" t="s">
        <v>89</v>
      </c>
      <c r="D39" s="69">
        <f t="shared" si="10"/>
        <v>100000</v>
      </c>
      <c r="E39" s="70"/>
      <c r="F39" s="69">
        <f t="shared" si="8"/>
        <v>100000</v>
      </c>
      <c r="G39" s="64">
        <v>100000</v>
      </c>
      <c r="H39" s="22"/>
      <c r="I39" s="49">
        <f t="shared" si="11"/>
        <v>0</v>
      </c>
      <c r="J39" s="66" t="e">
        <f t="shared" si="12"/>
        <v>#DIV/0!</v>
      </c>
      <c r="L39" s="73">
        <f t="shared" si="9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3"/>
        <v>100000</v>
      </c>
      <c r="Z39" s="41">
        <f t="shared" si="7"/>
        <v>0</v>
      </c>
    </row>
    <row r="40" spans="1:26" ht="26.25" customHeight="1">
      <c r="A40" s="1"/>
      <c r="B40" s="20"/>
      <c r="C40" s="68" t="s">
        <v>187</v>
      </c>
      <c r="D40" s="69">
        <f t="shared" si="10"/>
        <v>620000</v>
      </c>
      <c r="E40" s="70"/>
      <c r="F40" s="69">
        <f t="shared" si="8"/>
        <v>620000</v>
      </c>
      <c r="G40" s="64">
        <v>620000</v>
      </c>
      <c r="H40" s="22"/>
      <c r="I40" s="49">
        <f t="shared" si="11"/>
        <v>0</v>
      </c>
      <c r="J40" s="66" t="e">
        <f t="shared" si="12"/>
        <v>#DIV/0!</v>
      </c>
      <c r="L40" s="73">
        <f t="shared" si="9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3"/>
        <v>620000</v>
      </c>
      <c r="Z40" s="41">
        <f t="shared" si="7"/>
        <v>0</v>
      </c>
    </row>
    <row r="41" spans="1:26" ht="26.25" customHeight="1">
      <c r="A41" s="1"/>
      <c r="B41" s="20"/>
      <c r="C41" s="68" t="s">
        <v>90</v>
      </c>
      <c r="D41" s="69">
        <f t="shared" si="10"/>
        <v>80000</v>
      </c>
      <c r="E41" s="70"/>
      <c r="F41" s="69">
        <f t="shared" si="8"/>
        <v>80000</v>
      </c>
      <c r="G41" s="64">
        <v>80000</v>
      </c>
      <c r="H41" s="22"/>
      <c r="I41" s="49">
        <f t="shared" si="11"/>
        <v>0</v>
      </c>
      <c r="J41" s="66" t="e">
        <f t="shared" si="12"/>
        <v>#DIV/0!</v>
      </c>
      <c r="L41" s="73">
        <f t="shared" si="9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3"/>
        <v>80000</v>
      </c>
      <c r="Z41" s="41">
        <f t="shared" si="7"/>
        <v>0</v>
      </c>
    </row>
    <row r="42" spans="1:26" ht="26.25" customHeight="1">
      <c r="A42" s="1"/>
      <c r="B42" s="20"/>
      <c r="C42" s="68" t="s">
        <v>91</v>
      </c>
      <c r="D42" s="69">
        <f t="shared" si="10"/>
        <v>200000</v>
      </c>
      <c r="E42" s="70"/>
      <c r="F42" s="69">
        <f t="shared" si="8"/>
        <v>200000</v>
      </c>
      <c r="G42" s="64">
        <v>200000</v>
      </c>
      <c r="H42" s="22"/>
      <c r="I42" s="49">
        <f t="shared" si="11"/>
        <v>0</v>
      </c>
      <c r="J42" s="66" t="e">
        <f t="shared" si="12"/>
        <v>#DIV/0!</v>
      </c>
      <c r="L42" s="73">
        <f t="shared" si="9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3"/>
        <v>200000</v>
      </c>
      <c r="Z42" s="41">
        <f t="shared" si="7"/>
        <v>0</v>
      </c>
    </row>
    <row r="43" spans="1:26" ht="26.25" customHeight="1">
      <c r="A43" s="1"/>
      <c r="B43" s="20"/>
      <c r="C43" s="68" t="s">
        <v>92</v>
      </c>
      <c r="D43" s="69">
        <f t="shared" si="10"/>
        <v>100000</v>
      </c>
      <c r="E43" s="70"/>
      <c r="F43" s="69">
        <f t="shared" si="8"/>
        <v>100000</v>
      </c>
      <c r="G43" s="64">
        <v>100000</v>
      </c>
      <c r="H43" s="22"/>
      <c r="I43" s="49">
        <f t="shared" si="11"/>
        <v>0</v>
      </c>
      <c r="J43" s="66" t="e">
        <f t="shared" si="12"/>
        <v>#DIV/0!</v>
      </c>
      <c r="L43" s="73">
        <f t="shared" si="9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3"/>
        <v>100000</v>
      </c>
      <c r="Z43" s="41">
        <f t="shared" si="7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4">
        <v>117000</v>
      </c>
      <c r="H44" s="22"/>
      <c r="I44" s="49">
        <f>H44/D44*100</f>
        <v>0</v>
      </c>
      <c r="J44" s="66" t="e">
        <f t="shared" si="12"/>
        <v>#DIV/0!</v>
      </c>
      <c r="L44" s="73">
        <f t="shared" si="9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3"/>
        <v>117000</v>
      </c>
      <c r="Z44" s="41">
        <f t="shared" si="7"/>
        <v>0</v>
      </c>
    </row>
    <row r="45" spans="1:26" ht="26.25" customHeight="1">
      <c r="A45" s="1"/>
      <c r="B45" s="20"/>
      <c r="C45" s="68" t="s">
        <v>178</v>
      </c>
      <c r="D45" s="69">
        <f>G45</f>
        <v>40000</v>
      </c>
      <c r="E45" s="70"/>
      <c r="F45" s="69">
        <f>G45</f>
        <v>40000</v>
      </c>
      <c r="G45" s="64">
        <f>40000</f>
        <v>40000</v>
      </c>
      <c r="H45" s="22"/>
      <c r="I45" s="49"/>
      <c r="J45" s="66">
        <f t="shared" si="12"/>
        <v>0</v>
      </c>
      <c r="L45" s="73">
        <f t="shared" si="9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3"/>
        <v>40000</v>
      </c>
      <c r="Z45" s="41">
        <f aca="true" t="shared" si="14" ref="Z45:Z108">Y45-D45</f>
        <v>0</v>
      </c>
    </row>
    <row r="46" spans="1:26" ht="38.25" customHeight="1">
      <c r="A46" s="1"/>
      <c r="B46" s="20"/>
      <c r="C46" s="68" t="s">
        <v>179</v>
      </c>
      <c r="D46" s="69">
        <f>G46</f>
        <v>50000</v>
      </c>
      <c r="E46" s="70"/>
      <c r="F46" s="69">
        <f>G46</f>
        <v>50000</v>
      </c>
      <c r="G46" s="64">
        <f>50000</f>
        <v>50000</v>
      </c>
      <c r="H46" s="22"/>
      <c r="I46" s="49"/>
      <c r="J46" s="66" t="e">
        <f t="shared" si="12"/>
        <v>#DIV/0!</v>
      </c>
      <c r="L46" s="73">
        <f t="shared" si="9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3"/>
        <v>50000</v>
      </c>
      <c r="Z46" s="41">
        <f t="shared" si="14"/>
        <v>0</v>
      </c>
    </row>
    <row r="47" spans="1:26" ht="26.25" customHeight="1">
      <c r="A47" s="1"/>
      <c r="B47" s="20"/>
      <c r="C47" s="68" t="s">
        <v>93</v>
      </c>
      <c r="D47" s="69">
        <f t="shared" si="10"/>
        <v>153400</v>
      </c>
      <c r="E47" s="70"/>
      <c r="F47" s="69">
        <f t="shared" si="8"/>
        <v>153400</v>
      </c>
      <c r="G47" s="64">
        <v>153400</v>
      </c>
      <c r="H47" s="22"/>
      <c r="I47" s="49">
        <f t="shared" si="11"/>
        <v>0</v>
      </c>
      <c r="J47" s="66" t="e">
        <f t="shared" si="12"/>
        <v>#DIV/0!</v>
      </c>
      <c r="L47" s="73">
        <f t="shared" si="9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3"/>
        <v>153400</v>
      </c>
      <c r="Z47" s="41">
        <f t="shared" si="14"/>
        <v>0</v>
      </c>
    </row>
    <row r="48" spans="1:26" ht="26.25" customHeight="1">
      <c r="A48" s="1"/>
      <c r="B48" s="20"/>
      <c r="C48" s="68" t="s">
        <v>94</v>
      </c>
      <c r="D48" s="69">
        <f t="shared" si="10"/>
        <v>153400</v>
      </c>
      <c r="E48" s="70"/>
      <c r="F48" s="69">
        <f t="shared" si="8"/>
        <v>153400</v>
      </c>
      <c r="G48" s="64">
        <v>153400</v>
      </c>
      <c r="H48" s="22"/>
      <c r="I48" s="49">
        <f t="shared" si="11"/>
        <v>0</v>
      </c>
      <c r="J48" s="66" t="e">
        <f t="shared" si="12"/>
        <v>#DIV/0!</v>
      </c>
      <c r="L48" s="73">
        <f t="shared" si="9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3"/>
        <v>153400</v>
      </c>
      <c r="Z48" s="41">
        <f t="shared" si="14"/>
        <v>0</v>
      </c>
    </row>
    <row r="49" spans="1:26" ht="26.25" customHeight="1">
      <c r="A49" s="1"/>
      <c r="B49" s="20"/>
      <c r="C49" s="68" t="s">
        <v>95</v>
      </c>
      <c r="D49" s="69">
        <f t="shared" si="10"/>
        <v>153400</v>
      </c>
      <c r="E49" s="70"/>
      <c r="F49" s="69">
        <f t="shared" si="8"/>
        <v>153400</v>
      </c>
      <c r="G49" s="64">
        <v>153400</v>
      </c>
      <c r="H49" s="22"/>
      <c r="I49" s="49">
        <f t="shared" si="11"/>
        <v>0</v>
      </c>
      <c r="J49" s="66" t="e">
        <f t="shared" si="12"/>
        <v>#DIV/0!</v>
      </c>
      <c r="L49" s="73">
        <f t="shared" si="9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3"/>
        <v>153400</v>
      </c>
      <c r="Z49" s="41">
        <f t="shared" si="14"/>
        <v>0</v>
      </c>
    </row>
    <row r="50" spans="1:26" ht="43.5" customHeight="1">
      <c r="A50" s="1"/>
      <c r="B50" s="20"/>
      <c r="C50" s="68" t="s">
        <v>96</v>
      </c>
      <c r="D50" s="69">
        <f t="shared" si="10"/>
        <v>560000</v>
      </c>
      <c r="E50" s="70"/>
      <c r="F50" s="69">
        <f t="shared" si="8"/>
        <v>560000</v>
      </c>
      <c r="G50" s="64">
        <v>560000</v>
      </c>
      <c r="H50" s="22"/>
      <c r="I50" s="49">
        <f t="shared" si="11"/>
        <v>0</v>
      </c>
      <c r="J50" s="66" t="e">
        <f t="shared" si="12"/>
        <v>#DIV/0!</v>
      </c>
      <c r="L50" s="73">
        <f t="shared" si="9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3"/>
        <v>560000</v>
      </c>
      <c r="Z50" s="41">
        <f t="shared" si="14"/>
        <v>0</v>
      </c>
    </row>
    <row r="51" spans="1:26" ht="26.25" customHeight="1">
      <c r="A51" s="1"/>
      <c r="B51" s="20"/>
      <c r="C51" s="68" t="s">
        <v>97</v>
      </c>
      <c r="D51" s="69">
        <f t="shared" si="10"/>
        <v>1534000</v>
      </c>
      <c r="E51" s="70"/>
      <c r="F51" s="69">
        <f t="shared" si="8"/>
        <v>1534000</v>
      </c>
      <c r="G51" s="64">
        <v>1534000</v>
      </c>
      <c r="H51" s="22"/>
      <c r="I51" s="49">
        <f t="shared" si="11"/>
        <v>0</v>
      </c>
      <c r="J51" s="66" t="e">
        <f t="shared" si="12"/>
        <v>#DIV/0!</v>
      </c>
      <c r="L51" s="73">
        <f t="shared" si="9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3"/>
        <v>1534000</v>
      </c>
      <c r="Z51" s="41">
        <f t="shared" si="14"/>
        <v>0</v>
      </c>
    </row>
    <row r="52" spans="1:26" ht="26.25" customHeight="1">
      <c r="A52" s="1"/>
      <c r="B52" s="20"/>
      <c r="C52" s="68" t="s">
        <v>98</v>
      </c>
      <c r="D52" s="69">
        <f t="shared" si="10"/>
        <v>100000</v>
      </c>
      <c r="E52" s="70"/>
      <c r="F52" s="69">
        <f t="shared" si="8"/>
        <v>100000</v>
      </c>
      <c r="G52" s="64">
        <v>100000</v>
      </c>
      <c r="H52" s="22"/>
      <c r="I52" s="49">
        <f t="shared" si="11"/>
        <v>0</v>
      </c>
      <c r="J52" s="66" t="e">
        <f t="shared" si="12"/>
        <v>#DIV/0!</v>
      </c>
      <c r="L52" s="73">
        <f t="shared" si="9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3"/>
        <v>100000</v>
      </c>
      <c r="Z52" s="41">
        <f t="shared" si="14"/>
        <v>0</v>
      </c>
    </row>
    <row r="53" spans="1:26" ht="26.25" customHeight="1">
      <c r="A53" s="1"/>
      <c r="B53" s="20"/>
      <c r="C53" s="68" t="s">
        <v>99</v>
      </c>
      <c r="D53" s="69">
        <f t="shared" si="10"/>
        <v>225700</v>
      </c>
      <c r="E53" s="70"/>
      <c r="F53" s="69">
        <f t="shared" si="8"/>
        <v>225700</v>
      </c>
      <c r="G53" s="64">
        <v>225700</v>
      </c>
      <c r="H53" s="22"/>
      <c r="I53" s="49">
        <f t="shared" si="11"/>
        <v>0</v>
      </c>
      <c r="J53" s="66" t="e">
        <f t="shared" si="12"/>
        <v>#DIV/0!</v>
      </c>
      <c r="L53" s="73">
        <f t="shared" si="9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3"/>
        <v>225700</v>
      </c>
      <c r="Z53" s="41">
        <f t="shared" si="14"/>
        <v>0</v>
      </c>
    </row>
    <row r="54" spans="1:26" ht="26.25" customHeight="1">
      <c r="A54" s="1"/>
      <c r="B54" s="20"/>
      <c r="C54" s="68" t="s">
        <v>100</v>
      </c>
      <c r="D54" s="69">
        <f t="shared" si="10"/>
        <v>50000</v>
      </c>
      <c r="E54" s="70"/>
      <c r="F54" s="69">
        <f t="shared" si="8"/>
        <v>50000</v>
      </c>
      <c r="G54" s="64">
        <f>100000-50000</f>
        <v>50000</v>
      </c>
      <c r="H54" s="22"/>
      <c r="I54" s="49">
        <f t="shared" si="11"/>
        <v>0</v>
      </c>
      <c r="J54" s="66" t="e">
        <f t="shared" si="12"/>
        <v>#DIV/0!</v>
      </c>
      <c r="L54" s="73">
        <f t="shared" si="9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3"/>
        <v>50000</v>
      </c>
      <c r="Z54" s="41">
        <f t="shared" si="14"/>
        <v>0</v>
      </c>
    </row>
    <row r="55" spans="1:26" ht="26.25" customHeight="1">
      <c r="A55" s="1"/>
      <c r="B55" s="20"/>
      <c r="C55" s="68" t="s">
        <v>101</v>
      </c>
      <c r="D55" s="69">
        <f t="shared" si="10"/>
        <v>200000</v>
      </c>
      <c r="E55" s="70"/>
      <c r="F55" s="69">
        <f t="shared" si="8"/>
        <v>200000</v>
      </c>
      <c r="G55" s="64">
        <v>200000</v>
      </c>
      <c r="H55" s="22"/>
      <c r="I55" s="49">
        <f t="shared" si="11"/>
        <v>0</v>
      </c>
      <c r="J55" s="66" t="e">
        <f t="shared" si="12"/>
        <v>#DIV/0!</v>
      </c>
      <c r="L55" s="73">
        <f t="shared" si="9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3"/>
        <v>200000</v>
      </c>
      <c r="Z55" s="41">
        <f t="shared" si="14"/>
        <v>0</v>
      </c>
    </row>
    <row r="56" spans="1:26" ht="26.25" customHeight="1">
      <c r="A56" s="1"/>
      <c r="B56" s="20"/>
      <c r="C56" s="68" t="s">
        <v>102</v>
      </c>
      <c r="D56" s="69">
        <f t="shared" si="10"/>
        <v>100000</v>
      </c>
      <c r="E56" s="70"/>
      <c r="F56" s="69">
        <f t="shared" si="8"/>
        <v>100000</v>
      </c>
      <c r="G56" s="64">
        <v>100000</v>
      </c>
      <c r="H56" s="22"/>
      <c r="I56" s="49">
        <f t="shared" si="11"/>
        <v>0</v>
      </c>
      <c r="J56" s="66" t="e">
        <f t="shared" si="12"/>
        <v>#DIV/0!</v>
      </c>
      <c r="L56" s="73">
        <f t="shared" si="9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3"/>
        <v>100000</v>
      </c>
      <c r="Z56" s="41">
        <f t="shared" si="14"/>
        <v>0</v>
      </c>
    </row>
    <row r="57" spans="1:26" ht="41.25" customHeight="1">
      <c r="A57" s="1"/>
      <c r="B57" s="20"/>
      <c r="C57" s="68" t="s">
        <v>180</v>
      </c>
      <c r="D57" s="69">
        <f t="shared" si="10"/>
        <v>350000</v>
      </c>
      <c r="E57" s="70"/>
      <c r="F57" s="69">
        <f t="shared" si="8"/>
        <v>350000</v>
      </c>
      <c r="G57" s="64">
        <v>350000</v>
      </c>
      <c r="H57" s="22"/>
      <c r="I57" s="49">
        <f t="shared" si="11"/>
        <v>0</v>
      </c>
      <c r="J57" s="66" t="e">
        <f t="shared" si="12"/>
        <v>#DIV/0!</v>
      </c>
      <c r="L57" s="73">
        <f t="shared" si="9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3"/>
        <v>350000</v>
      </c>
      <c r="Z57" s="41">
        <f t="shared" si="14"/>
        <v>0</v>
      </c>
    </row>
    <row r="58" spans="1:26" ht="26.25" customHeight="1">
      <c r="A58" s="1"/>
      <c r="B58" s="20"/>
      <c r="C58" s="68" t="s">
        <v>103</v>
      </c>
      <c r="D58" s="69">
        <f t="shared" si="10"/>
        <v>100000</v>
      </c>
      <c r="E58" s="70"/>
      <c r="F58" s="69">
        <f t="shared" si="8"/>
        <v>100000</v>
      </c>
      <c r="G58" s="64">
        <v>100000</v>
      </c>
      <c r="H58" s="22"/>
      <c r="I58" s="49">
        <f t="shared" si="11"/>
        <v>0</v>
      </c>
      <c r="J58" s="66" t="e">
        <f t="shared" si="12"/>
        <v>#DIV/0!</v>
      </c>
      <c r="L58" s="73">
        <f t="shared" si="9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3"/>
        <v>100000</v>
      </c>
      <c r="Z58" s="41">
        <f t="shared" si="14"/>
        <v>0</v>
      </c>
    </row>
    <row r="59" spans="1:26" ht="26.25" customHeight="1">
      <c r="A59" s="1"/>
      <c r="B59" s="20"/>
      <c r="C59" s="68" t="s">
        <v>104</v>
      </c>
      <c r="D59" s="69">
        <f t="shared" si="10"/>
        <v>100000</v>
      </c>
      <c r="E59" s="70"/>
      <c r="F59" s="69">
        <f t="shared" si="8"/>
        <v>100000</v>
      </c>
      <c r="G59" s="64">
        <f>100000+50000-50000</f>
        <v>100000</v>
      </c>
      <c r="H59" s="22"/>
      <c r="I59" s="49">
        <f t="shared" si="11"/>
        <v>0</v>
      </c>
      <c r="J59" s="66" t="e">
        <f t="shared" si="12"/>
        <v>#DIV/0!</v>
      </c>
      <c r="L59" s="73">
        <f t="shared" si="9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3"/>
        <v>100000</v>
      </c>
      <c r="Z59" s="41">
        <f t="shared" si="14"/>
        <v>0</v>
      </c>
    </row>
    <row r="60" spans="1:26" ht="26.25" customHeight="1">
      <c r="A60" s="1"/>
      <c r="B60" s="20"/>
      <c r="C60" s="68" t="s">
        <v>181</v>
      </c>
      <c r="D60" s="69">
        <f t="shared" si="10"/>
        <v>50000</v>
      </c>
      <c r="E60" s="70"/>
      <c r="F60" s="69">
        <f t="shared" si="8"/>
        <v>50000</v>
      </c>
      <c r="G60" s="64">
        <f>50000</f>
        <v>50000</v>
      </c>
      <c r="H60" s="22"/>
      <c r="I60" s="49">
        <f t="shared" si="11"/>
        <v>0</v>
      </c>
      <c r="J60" s="66">
        <f t="shared" si="12"/>
        <v>0</v>
      </c>
      <c r="L60" s="73">
        <f t="shared" si="9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3"/>
        <v>50000</v>
      </c>
      <c r="Z60" s="41">
        <f t="shared" si="14"/>
        <v>0</v>
      </c>
    </row>
    <row r="61" spans="1:26" ht="26.25" customHeight="1">
      <c r="A61" s="1"/>
      <c r="B61" s="20"/>
      <c r="C61" s="68" t="s">
        <v>105</v>
      </c>
      <c r="D61" s="69">
        <f t="shared" si="10"/>
        <v>200000</v>
      </c>
      <c r="E61" s="70"/>
      <c r="F61" s="69">
        <f t="shared" si="8"/>
        <v>200000</v>
      </c>
      <c r="G61" s="64">
        <v>200000</v>
      </c>
      <c r="H61" s="22"/>
      <c r="I61" s="49">
        <f t="shared" si="11"/>
        <v>0</v>
      </c>
      <c r="J61" s="66" t="e">
        <f t="shared" si="12"/>
        <v>#DIV/0!</v>
      </c>
      <c r="L61" s="73">
        <f t="shared" si="9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3"/>
        <v>200000</v>
      </c>
      <c r="Z61" s="41">
        <f t="shared" si="14"/>
        <v>0</v>
      </c>
    </row>
    <row r="62" spans="1:26" ht="26.25" customHeight="1">
      <c r="A62" s="1"/>
      <c r="B62" s="20"/>
      <c r="C62" s="68" t="s">
        <v>106</v>
      </c>
      <c r="D62" s="69">
        <f t="shared" si="10"/>
        <v>100000</v>
      </c>
      <c r="E62" s="70"/>
      <c r="F62" s="69">
        <f t="shared" si="8"/>
        <v>100000</v>
      </c>
      <c r="G62" s="64">
        <v>100000</v>
      </c>
      <c r="H62" s="22"/>
      <c r="I62" s="49">
        <f t="shared" si="11"/>
        <v>0</v>
      </c>
      <c r="J62" s="66" t="e">
        <f t="shared" si="12"/>
        <v>#DIV/0!</v>
      </c>
      <c r="L62" s="73">
        <f t="shared" si="9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3"/>
        <v>100000</v>
      </c>
      <c r="Z62" s="41">
        <f t="shared" si="14"/>
        <v>0</v>
      </c>
    </row>
    <row r="63" spans="1:26" ht="26.25" customHeight="1">
      <c r="A63" s="1"/>
      <c r="B63" s="20"/>
      <c r="C63" s="68" t="s">
        <v>107</v>
      </c>
      <c r="D63" s="69">
        <f t="shared" si="10"/>
        <v>100000</v>
      </c>
      <c r="E63" s="70"/>
      <c r="F63" s="69">
        <f t="shared" si="8"/>
        <v>100000</v>
      </c>
      <c r="G63" s="64">
        <v>100000</v>
      </c>
      <c r="H63" s="22"/>
      <c r="I63" s="49">
        <f t="shared" si="11"/>
        <v>0</v>
      </c>
      <c r="J63" s="66" t="e">
        <f t="shared" si="12"/>
        <v>#DIV/0!</v>
      </c>
      <c r="L63" s="73">
        <f t="shared" si="9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3"/>
        <v>100000</v>
      </c>
      <c r="Z63" s="41">
        <f t="shared" si="14"/>
        <v>0</v>
      </c>
    </row>
    <row r="64" spans="1:26" ht="26.25" customHeight="1">
      <c r="A64" s="1"/>
      <c r="B64" s="20"/>
      <c r="C64" s="68" t="s">
        <v>173</v>
      </c>
      <c r="D64" s="69">
        <f t="shared" si="10"/>
        <v>66000</v>
      </c>
      <c r="E64" s="70"/>
      <c r="F64" s="69">
        <f>G64</f>
        <v>66000</v>
      </c>
      <c r="G64" s="64">
        <f>66000</f>
        <v>66000</v>
      </c>
      <c r="H64" s="22"/>
      <c r="I64" s="49">
        <f t="shared" si="11"/>
        <v>0</v>
      </c>
      <c r="J64" s="66">
        <f t="shared" si="12"/>
        <v>0</v>
      </c>
      <c r="L64" s="73">
        <f t="shared" si="9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3"/>
        <v>66000</v>
      </c>
      <c r="Z64" s="41">
        <f t="shared" si="14"/>
        <v>0</v>
      </c>
    </row>
    <row r="65" spans="1:26" ht="43.5" customHeight="1">
      <c r="A65" s="1"/>
      <c r="B65" s="20"/>
      <c r="C65" s="68" t="s">
        <v>108</v>
      </c>
      <c r="D65" s="69">
        <f t="shared" si="10"/>
        <v>100000</v>
      </c>
      <c r="E65" s="70"/>
      <c r="F65" s="69">
        <f t="shared" si="8"/>
        <v>100000</v>
      </c>
      <c r="G65" s="64">
        <v>100000</v>
      </c>
      <c r="H65" s="22"/>
      <c r="I65" s="49">
        <f t="shared" si="11"/>
        <v>0</v>
      </c>
      <c r="J65" s="66" t="e">
        <f t="shared" si="12"/>
        <v>#DIV/0!</v>
      </c>
      <c r="L65" s="73">
        <f t="shared" si="9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3"/>
        <v>100000</v>
      </c>
      <c r="Z65" s="41">
        <f t="shared" si="14"/>
        <v>0</v>
      </c>
    </row>
    <row r="66" spans="1:26" ht="137.25" customHeight="1">
      <c r="A66" s="1"/>
      <c r="B66" s="20"/>
      <c r="C66" s="68" t="s">
        <v>109</v>
      </c>
      <c r="D66" s="69">
        <f t="shared" si="10"/>
        <v>210000</v>
      </c>
      <c r="E66" s="70"/>
      <c r="F66" s="69">
        <f t="shared" si="8"/>
        <v>210000</v>
      </c>
      <c r="G66" s="64">
        <v>210000</v>
      </c>
      <c r="H66" s="22"/>
      <c r="I66" s="49">
        <f t="shared" si="11"/>
        <v>0</v>
      </c>
      <c r="J66" s="66" t="e">
        <f t="shared" si="12"/>
        <v>#DIV/0!</v>
      </c>
      <c r="L66" s="73">
        <f t="shared" si="9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3"/>
        <v>210000</v>
      </c>
      <c r="Z66" s="41">
        <f t="shared" si="14"/>
        <v>0</v>
      </c>
    </row>
    <row r="67" spans="1:26" ht="43.5" customHeight="1">
      <c r="A67" s="1"/>
      <c r="B67" s="20"/>
      <c r="C67" s="68" t="s">
        <v>110</v>
      </c>
      <c r="D67" s="69">
        <f t="shared" si="10"/>
        <v>460000</v>
      </c>
      <c r="E67" s="70"/>
      <c r="F67" s="69">
        <f t="shared" si="8"/>
        <v>460000</v>
      </c>
      <c r="G67" s="64">
        <v>460000</v>
      </c>
      <c r="H67" s="22"/>
      <c r="I67" s="49">
        <f t="shared" si="11"/>
        <v>0</v>
      </c>
      <c r="J67" s="66" t="e">
        <f t="shared" si="12"/>
        <v>#DIV/0!</v>
      </c>
      <c r="L67" s="73">
        <f t="shared" si="9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3"/>
        <v>460000</v>
      </c>
      <c r="Z67" s="41">
        <f t="shared" si="14"/>
        <v>0</v>
      </c>
    </row>
    <row r="68" spans="1:26" ht="26.25" customHeight="1">
      <c r="A68" s="1"/>
      <c r="B68" s="20"/>
      <c r="C68" s="68" t="s">
        <v>182</v>
      </c>
      <c r="D68" s="69">
        <f t="shared" si="10"/>
        <v>232000</v>
      </c>
      <c r="E68" s="70"/>
      <c r="F68" s="69">
        <f t="shared" si="8"/>
        <v>232000</v>
      </c>
      <c r="G68" s="64">
        <v>232000</v>
      </c>
      <c r="H68" s="22"/>
      <c r="I68" s="49"/>
      <c r="J68" s="66" t="e">
        <f t="shared" si="12"/>
        <v>#DIV/0!</v>
      </c>
      <c r="L68" s="73">
        <f t="shared" si="9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3"/>
        <v>232000</v>
      </c>
      <c r="Z68" s="41">
        <f t="shared" si="14"/>
        <v>0</v>
      </c>
    </row>
    <row r="69" spans="1:26" ht="26.25" customHeight="1">
      <c r="A69" s="1"/>
      <c r="B69" s="20"/>
      <c r="C69" s="68" t="s">
        <v>111</v>
      </c>
      <c r="D69" s="69">
        <f t="shared" si="10"/>
        <v>220000</v>
      </c>
      <c r="E69" s="70"/>
      <c r="F69" s="69">
        <f t="shared" si="8"/>
        <v>220000</v>
      </c>
      <c r="G69" s="64">
        <v>220000</v>
      </c>
      <c r="H69" s="22"/>
      <c r="I69" s="49">
        <f t="shared" si="11"/>
        <v>0</v>
      </c>
      <c r="J69" s="66" t="e">
        <f t="shared" si="12"/>
        <v>#DIV/0!</v>
      </c>
      <c r="L69" s="73">
        <f t="shared" si="9"/>
        <v>0</v>
      </c>
      <c r="M69" s="71"/>
      <c r="N69" s="71"/>
      <c r="O69" s="71">
        <v>22000</v>
      </c>
      <c r="P69" s="71"/>
      <c r="Q69" s="71">
        <f>-22000</f>
        <v>-22000</v>
      </c>
      <c r="R69" s="71"/>
      <c r="S69" s="71"/>
      <c r="T69" s="71"/>
      <c r="U69" s="71"/>
      <c r="V69" s="71">
        <v>99000</v>
      </c>
      <c r="W69" s="71">
        <f>22000</f>
        <v>22000</v>
      </c>
      <c r="X69" s="71">
        <v>99000</v>
      </c>
      <c r="Y69" s="22">
        <f t="shared" si="13"/>
        <v>220000</v>
      </c>
      <c r="Z69" s="41">
        <f t="shared" si="14"/>
        <v>0</v>
      </c>
    </row>
    <row r="70" spans="1:26" ht="26.25" customHeight="1">
      <c r="A70" s="1"/>
      <c r="B70" s="20"/>
      <c r="C70" s="68" t="s">
        <v>112</v>
      </c>
      <c r="D70" s="69">
        <f t="shared" si="10"/>
        <v>127000</v>
      </c>
      <c r="E70" s="70"/>
      <c r="F70" s="69">
        <f t="shared" si="8"/>
        <v>127000</v>
      </c>
      <c r="G70" s="64">
        <v>127000</v>
      </c>
      <c r="H70" s="22"/>
      <c r="I70" s="49">
        <f t="shared" si="11"/>
        <v>0</v>
      </c>
      <c r="J70" s="66" t="e">
        <f t="shared" si="12"/>
        <v>#DIV/0!</v>
      </c>
      <c r="L70" s="73">
        <f t="shared" si="9"/>
        <v>0</v>
      </c>
      <c r="M70" s="71"/>
      <c r="N70" s="71"/>
      <c r="O70" s="71">
        <v>12700</v>
      </c>
      <c r="P70" s="71"/>
      <c r="Q70" s="71">
        <v>-12700</v>
      </c>
      <c r="R70" s="71"/>
      <c r="S70" s="71"/>
      <c r="T70" s="71"/>
      <c r="U70" s="71"/>
      <c r="V70" s="71">
        <v>57150</v>
      </c>
      <c r="W70" s="71">
        <f>12700</f>
        <v>12700</v>
      </c>
      <c r="X70" s="71">
        <v>57150</v>
      </c>
      <c r="Y70" s="22">
        <f t="shared" si="13"/>
        <v>127000</v>
      </c>
      <c r="Z70" s="41">
        <f t="shared" si="14"/>
        <v>0</v>
      </c>
    </row>
    <row r="71" spans="1:26" ht="43.5" customHeight="1">
      <c r="A71" s="1"/>
      <c r="B71" s="20"/>
      <c r="C71" s="68" t="s">
        <v>113</v>
      </c>
      <c r="D71" s="69">
        <f t="shared" si="10"/>
        <v>240000</v>
      </c>
      <c r="E71" s="70"/>
      <c r="F71" s="69">
        <f t="shared" si="8"/>
        <v>240000</v>
      </c>
      <c r="G71" s="64">
        <v>240000</v>
      </c>
      <c r="H71" s="22"/>
      <c r="I71" s="49">
        <f t="shared" si="11"/>
        <v>0</v>
      </c>
      <c r="J71" s="66" t="e">
        <f t="shared" si="12"/>
        <v>#DIV/0!</v>
      </c>
      <c r="L71" s="73">
        <f t="shared" si="9"/>
        <v>0</v>
      </c>
      <c r="M71" s="71"/>
      <c r="N71" s="71"/>
      <c r="O71" s="71">
        <v>24000</v>
      </c>
      <c r="P71" s="71"/>
      <c r="Q71" s="71">
        <v>-24000</v>
      </c>
      <c r="R71" s="71"/>
      <c r="S71" s="71"/>
      <c r="T71" s="71"/>
      <c r="U71" s="71"/>
      <c r="V71" s="71">
        <v>108000</v>
      </c>
      <c r="W71" s="71">
        <f>24000</f>
        <v>24000</v>
      </c>
      <c r="X71" s="71">
        <v>108000</v>
      </c>
      <c r="Y71" s="22">
        <f t="shared" si="13"/>
        <v>240000</v>
      </c>
      <c r="Z71" s="41">
        <f t="shared" si="14"/>
        <v>0</v>
      </c>
    </row>
    <row r="72" spans="1:26" ht="26.25" customHeight="1">
      <c r="A72" s="1"/>
      <c r="B72" s="20"/>
      <c r="C72" s="68" t="s">
        <v>183</v>
      </c>
      <c r="D72" s="69">
        <f t="shared" si="10"/>
        <v>1650000</v>
      </c>
      <c r="E72" s="70"/>
      <c r="F72" s="69">
        <f t="shared" si="8"/>
        <v>1650000</v>
      </c>
      <c r="G72" s="64">
        <v>1650000</v>
      </c>
      <c r="H72" s="64">
        <f>68813.21</f>
        <v>68813.21</v>
      </c>
      <c r="I72" s="48">
        <f t="shared" si="11"/>
        <v>4.170497575757577</v>
      </c>
      <c r="J72" s="66">
        <f t="shared" si="12"/>
        <v>57.8262268907563</v>
      </c>
      <c r="L72" s="73">
        <f t="shared" si="9"/>
        <v>-380186.79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3"/>
        <v>1650000</v>
      </c>
      <c r="Z72" s="41">
        <f t="shared" si="14"/>
        <v>0</v>
      </c>
    </row>
    <row r="73" spans="1:26" ht="26.25" customHeight="1">
      <c r="A73" s="1"/>
      <c r="B73" s="20"/>
      <c r="C73" s="68" t="s">
        <v>114</v>
      </c>
      <c r="D73" s="69">
        <f t="shared" si="10"/>
        <v>480000</v>
      </c>
      <c r="E73" s="70"/>
      <c r="F73" s="69">
        <f t="shared" si="8"/>
        <v>480000</v>
      </c>
      <c r="G73" s="64">
        <v>480000</v>
      </c>
      <c r="H73" s="22"/>
      <c r="I73" s="49">
        <f t="shared" si="11"/>
        <v>0</v>
      </c>
      <c r="J73" s="66">
        <f t="shared" si="12"/>
        <v>0</v>
      </c>
      <c r="L73" s="73">
        <f t="shared" si="9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3"/>
        <v>480000</v>
      </c>
      <c r="Z73" s="41">
        <f t="shared" si="14"/>
        <v>0</v>
      </c>
    </row>
    <row r="74" spans="1:26" ht="26.25" customHeight="1">
      <c r="A74" s="1"/>
      <c r="B74" s="20"/>
      <c r="C74" s="68" t="s">
        <v>115</v>
      </c>
      <c r="D74" s="69">
        <f t="shared" si="10"/>
        <v>116000</v>
      </c>
      <c r="E74" s="70"/>
      <c r="F74" s="69">
        <f t="shared" si="8"/>
        <v>116000</v>
      </c>
      <c r="G74" s="64">
        <v>116000</v>
      </c>
      <c r="H74" s="22"/>
      <c r="I74" s="49">
        <f t="shared" si="11"/>
        <v>0</v>
      </c>
      <c r="J74" s="66" t="e">
        <f t="shared" si="12"/>
        <v>#DIV/0!</v>
      </c>
      <c r="L74" s="73">
        <f t="shared" si="9"/>
        <v>0</v>
      </c>
      <c r="M74" s="71"/>
      <c r="N74" s="71"/>
      <c r="O74" s="71">
        <v>11600</v>
      </c>
      <c r="P74" s="71"/>
      <c r="Q74" s="71">
        <f>-11600</f>
        <v>-11600</v>
      </c>
      <c r="R74" s="71"/>
      <c r="S74" s="71"/>
      <c r="T74" s="71"/>
      <c r="U74" s="71"/>
      <c r="V74" s="71">
        <v>81200</v>
      </c>
      <c r="W74" s="71">
        <f>11600</f>
        <v>11600</v>
      </c>
      <c r="X74" s="71">
        <v>23200</v>
      </c>
      <c r="Y74" s="22">
        <f t="shared" si="13"/>
        <v>116000</v>
      </c>
      <c r="Z74" s="41">
        <f t="shared" si="14"/>
        <v>0</v>
      </c>
    </row>
    <row r="75" spans="1:26" ht="26.25" customHeight="1">
      <c r="A75" s="1"/>
      <c r="B75" s="20"/>
      <c r="C75" s="68" t="s">
        <v>116</v>
      </c>
      <c r="D75" s="69">
        <f t="shared" si="10"/>
        <v>116000</v>
      </c>
      <c r="E75" s="70"/>
      <c r="F75" s="69">
        <f t="shared" si="8"/>
        <v>116000</v>
      </c>
      <c r="G75" s="64">
        <v>116000</v>
      </c>
      <c r="H75" s="22"/>
      <c r="I75" s="49">
        <f t="shared" si="11"/>
        <v>0</v>
      </c>
      <c r="J75" s="66" t="e">
        <f t="shared" si="12"/>
        <v>#DIV/0!</v>
      </c>
      <c r="L75" s="73">
        <f t="shared" si="9"/>
        <v>0</v>
      </c>
      <c r="M75" s="71"/>
      <c r="N75" s="71"/>
      <c r="O75" s="71">
        <v>11600</v>
      </c>
      <c r="P75" s="71"/>
      <c r="Q75" s="71">
        <f>-11600</f>
        <v>-11600</v>
      </c>
      <c r="R75" s="71"/>
      <c r="S75" s="71"/>
      <c r="T75" s="71"/>
      <c r="U75" s="71"/>
      <c r="V75" s="71">
        <v>52200</v>
      </c>
      <c r="W75" s="71">
        <f>11600</f>
        <v>11600</v>
      </c>
      <c r="X75" s="71">
        <v>52200</v>
      </c>
      <c r="Y75" s="22">
        <f t="shared" si="13"/>
        <v>116000</v>
      </c>
      <c r="Z75" s="41">
        <f t="shared" si="14"/>
        <v>0</v>
      </c>
    </row>
    <row r="76" spans="1:26" ht="26.25" customHeight="1">
      <c r="A76" s="1"/>
      <c r="B76" s="20"/>
      <c r="C76" s="68" t="s">
        <v>117</v>
      </c>
      <c r="D76" s="69">
        <f t="shared" si="10"/>
        <v>50000</v>
      </c>
      <c r="E76" s="70"/>
      <c r="F76" s="69">
        <f t="shared" si="8"/>
        <v>50000</v>
      </c>
      <c r="G76" s="64">
        <v>50000</v>
      </c>
      <c r="H76" s="22"/>
      <c r="I76" s="49">
        <f t="shared" si="11"/>
        <v>0</v>
      </c>
      <c r="J76" s="66" t="e">
        <f t="shared" si="12"/>
        <v>#DIV/0!</v>
      </c>
      <c r="L76" s="73">
        <f t="shared" si="9"/>
        <v>0</v>
      </c>
      <c r="M76" s="71"/>
      <c r="N76" s="71"/>
      <c r="O76" s="71">
        <v>5000</v>
      </c>
      <c r="P76" s="71"/>
      <c r="Q76" s="71">
        <f>-5000</f>
        <v>-5000</v>
      </c>
      <c r="R76" s="71"/>
      <c r="S76" s="71"/>
      <c r="T76" s="71"/>
      <c r="U76" s="71"/>
      <c r="V76" s="71">
        <v>35000</v>
      </c>
      <c r="W76" s="71">
        <f>5000</f>
        <v>5000</v>
      </c>
      <c r="X76" s="71">
        <v>10000</v>
      </c>
      <c r="Y76" s="22">
        <f t="shared" si="13"/>
        <v>50000</v>
      </c>
      <c r="Z76" s="41">
        <f t="shared" si="14"/>
        <v>0</v>
      </c>
    </row>
    <row r="77" spans="1:26" ht="26.25" customHeight="1">
      <c r="A77" s="1"/>
      <c r="B77" s="20"/>
      <c r="C77" s="68" t="s">
        <v>118</v>
      </c>
      <c r="D77" s="69">
        <f t="shared" si="10"/>
        <v>116000</v>
      </c>
      <c r="E77" s="70"/>
      <c r="F77" s="69">
        <f t="shared" si="8"/>
        <v>116000</v>
      </c>
      <c r="G77" s="64">
        <v>116000</v>
      </c>
      <c r="H77" s="22"/>
      <c r="I77" s="49">
        <f t="shared" si="11"/>
        <v>0</v>
      </c>
      <c r="J77" s="66" t="e">
        <f t="shared" si="12"/>
        <v>#DIV/0!</v>
      </c>
      <c r="L77" s="73">
        <f t="shared" si="9"/>
        <v>0</v>
      </c>
      <c r="M77" s="71"/>
      <c r="N77" s="71"/>
      <c r="O77" s="71">
        <v>11600</v>
      </c>
      <c r="P77" s="71"/>
      <c r="Q77" s="71">
        <v>-11600</v>
      </c>
      <c r="R77" s="71"/>
      <c r="S77" s="71"/>
      <c r="T77" s="71"/>
      <c r="U77" s="71"/>
      <c r="V77" s="71">
        <v>81200</v>
      </c>
      <c r="W77" s="71">
        <f>11600</f>
        <v>11600</v>
      </c>
      <c r="X77" s="71">
        <v>23200</v>
      </c>
      <c r="Y77" s="22">
        <f t="shared" si="13"/>
        <v>116000</v>
      </c>
      <c r="Z77" s="41">
        <f t="shared" si="14"/>
        <v>0</v>
      </c>
    </row>
    <row r="78" spans="1:26" ht="26.25" customHeight="1">
      <c r="A78" s="1"/>
      <c r="B78" s="20"/>
      <c r="C78" s="68" t="s">
        <v>119</v>
      </c>
      <c r="D78" s="69">
        <f t="shared" si="10"/>
        <v>263000</v>
      </c>
      <c r="E78" s="70"/>
      <c r="F78" s="69">
        <f t="shared" si="8"/>
        <v>263000</v>
      </c>
      <c r="G78" s="64">
        <v>263000</v>
      </c>
      <c r="H78" s="22"/>
      <c r="I78" s="49">
        <f t="shared" si="11"/>
        <v>0</v>
      </c>
      <c r="J78" s="66" t="e">
        <f t="shared" si="12"/>
        <v>#DIV/0!</v>
      </c>
      <c r="L78" s="73">
        <f t="shared" si="9"/>
        <v>0</v>
      </c>
      <c r="M78" s="71"/>
      <c r="N78" s="71"/>
      <c r="O78" s="71">
        <v>26300</v>
      </c>
      <c r="P78" s="71"/>
      <c r="Q78" s="71">
        <v>-26300</v>
      </c>
      <c r="R78" s="71"/>
      <c r="S78" s="71"/>
      <c r="T78" s="71"/>
      <c r="U78" s="71"/>
      <c r="V78" s="71">
        <v>184100</v>
      </c>
      <c r="W78" s="71">
        <f>26300</f>
        <v>26300</v>
      </c>
      <c r="X78" s="71">
        <v>52600</v>
      </c>
      <c r="Y78" s="22">
        <f t="shared" si="13"/>
        <v>263000</v>
      </c>
      <c r="Z78" s="41">
        <f t="shared" si="14"/>
        <v>0</v>
      </c>
    </row>
    <row r="79" spans="1:26" ht="26.25" customHeight="1">
      <c r="A79" s="1"/>
      <c r="B79" s="20"/>
      <c r="C79" s="68" t="s">
        <v>120</v>
      </c>
      <c r="D79" s="69">
        <f t="shared" si="10"/>
        <v>118000</v>
      </c>
      <c r="E79" s="70"/>
      <c r="F79" s="69">
        <f t="shared" si="8"/>
        <v>118000</v>
      </c>
      <c r="G79" s="64">
        <v>118000</v>
      </c>
      <c r="H79" s="22"/>
      <c r="I79" s="49">
        <f t="shared" si="11"/>
        <v>0</v>
      </c>
      <c r="J79" s="66" t="e">
        <f t="shared" si="12"/>
        <v>#DIV/0!</v>
      </c>
      <c r="L79" s="73">
        <f t="shared" si="9"/>
        <v>0</v>
      </c>
      <c r="M79" s="71"/>
      <c r="N79" s="71"/>
      <c r="O79" s="71">
        <v>11800</v>
      </c>
      <c r="P79" s="71"/>
      <c r="Q79" s="71">
        <v>-11800</v>
      </c>
      <c r="R79" s="71"/>
      <c r="S79" s="71"/>
      <c r="T79" s="71"/>
      <c r="U79" s="71"/>
      <c r="V79" s="71">
        <v>82600</v>
      </c>
      <c r="W79" s="71">
        <f>11800</f>
        <v>11800</v>
      </c>
      <c r="X79" s="71">
        <v>23600</v>
      </c>
      <c r="Y79" s="22">
        <f t="shared" si="13"/>
        <v>118000</v>
      </c>
      <c r="Z79" s="41">
        <f t="shared" si="14"/>
        <v>0</v>
      </c>
    </row>
    <row r="80" spans="1:26" ht="26.25" customHeight="1">
      <c r="A80" s="1"/>
      <c r="B80" s="20"/>
      <c r="C80" s="68" t="s">
        <v>121</v>
      </c>
      <c r="D80" s="69">
        <f t="shared" si="10"/>
        <v>232000</v>
      </c>
      <c r="E80" s="70"/>
      <c r="F80" s="69">
        <f t="shared" si="8"/>
        <v>232000</v>
      </c>
      <c r="G80" s="64">
        <v>232000</v>
      </c>
      <c r="H80" s="22"/>
      <c r="I80" s="49">
        <f t="shared" si="11"/>
        <v>0</v>
      </c>
      <c r="J80" s="66" t="e">
        <f t="shared" si="12"/>
        <v>#DIV/0!</v>
      </c>
      <c r="L80" s="73">
        <f t="shared" si="9"/>
        <v>0</v>
      </c>
      <c r="M80" s="71"/>
      <c r="N80" s="71"/>
      <c r="O80" s="71">
        <v>23200</v>
      </c>
      <c r="P80" s="71"/>
      <c r="Q80" s="71">
        <v>-23200</v>
      </c>
      <c r="R80" s="71"/>
      <c r="S80" s="71"/>
      <c r="T80" s="71"/>
      <c r="U80" s="71"/>
      <c r="V80" s="71">
        <v>162400</v>
      </c>
      <c r="W80" s="71">
        <f>23200</f>
        <v>23200</v>
      </c>
      <c r="X80" s="71">
        <v>46400</v>
      </c>
      <c r="Y80" s="22">
        <f t="shared" si="13"/>
        <v>232000</v>
      </c>
      <c r="Z80" s="41">
        <f t="shared" si="14"/>
        <v>0</v>
      </c>
    </row>
    <row r="81" spans="1:26" ht="26.25" customHeight="1">
      <c r="A81" s="1"/>
      <c r="B81" s="20"/>
      <c r="C81" s="68" t="s">
        <v>122</v>
      </c>
      <c r="D81" s="69">
        <f t="shared" si="10"/>
        <v>150000</v>
      </c>
      <c r="E81" s="70"/>
      <c r="F81" s="69">
        <f t="shared" si="8"/>
        <v>150000</v>
      </c>
      <c r="G81" s="64">
        <v>150000</v>
      </c>
      <c r="H81" s="22"/>
      <c r="I81" s="49">
        <f t="shared" si="11"/>
        <v>0</v>
      </c>
      <c r="J81" s="66" t="e">
        <f t="shared" si="12"/>
        <v>#DIV/0!</v>
      </c>
      <c r="L81" s="73">
        <f t="shared" si="9"/>
        <v>0</v>
      </c>
      <c r="M81" s="71"/>
      <c r="N81" s="71"/>
      <c r="O81" s="71">
        <v>15000</v>
      </c>
      <c r="P81" s="71"/>
      <c r="Q81" s="71">
        <v>-15000</v>
      </c>
      <c r="R81" s="71"/>
      <c r="S81" s="71"/>
      <c r="T81" s="71"/>
      <c r="U81" s="71"/>
      <c r="V81" s="71">
        <v>105000</v>
      </c>
      <c r="W81" s="71">
        <f>15000</f>
        <v>15000</v>
      </c>
      <c r="X81" s="71">
        <v>30000</v>
      </c>
      <c r="Y81" s="22">
        <f t="shared" si="13"/>
        <v>150000</v>
      </c>
      <c r="Z81" s="41">
        <f t="shared" si="14"/>
        <v>0</v>
      </c>
    </row>
    <row r="82" spans="1:26" ht="26.25" customHeight="1">
      <c r="A82" s="1"/>
      <c r="B82" s="20"/>
      <c r="C82" s="68" t="s">
        <v>123</v>
      </c>
      <c r="D82" s="69">
        <f t="shared" si="10"/>
        <v>350000</v>
      </c>
      <c r="E82" s="70"/>
      <c r="F82" s="69">
        <f t="shared" si="8"/>
        <v>350000</v>
      </c>
      <c r="G82" s="64">
        <v>350000</v>
      </c>
      <c r="H82" s="22"/>
      <c r="I82" s="49">
        <f t="shared" si="11"/>
        <v>0</v>
      </c>
      <c r="J82" s="66" t="e">
        <f t="shared" si="12"/>
        <v>#DIV/0!</v>
      </c>
      <c r="L82" s="73">
        <f t="shared" si="9"/>
        <v>0</v>
      </c>
      <c r="M82" s="71"/>
      <c r="N82" s="71"/>
      <c r="O82" s="71">
        <v>35000</v>
      </c>
      <c r="P82" s="71"/>
      <c r="Q82" s="71">
        <v>-35000</v>
      </c>
      <c r="R82" s="71"/>
      <c r="S82" s="71"/>
      <c r="T82" s="71"/>
      <c r="U82" s="71"/>
      <c r="V82" s="71">
        <v>157500</v>
      </c>
      <c r="W82" s="71">
        <f>35000</f>
        <v>35000</v>
      </c>
      <c r="X82" s="71">
        <v>157500</v>
      </c>
      <c r="Y82" s="22">
        <f t="shared" si="13"/>
        <v>350000</v>
      </c>
      <c r="Z82" s="41">
        <f t="shared" si="14"/>
        <v>0</v>
      </c>
    </row>
    <row r="83" spans="1:26" ht="26.25" customHeight="1">
      <c r="A83" s="1"/>
      <c r="B83" s="20"/>
      <c r="C83" s="68" t="s">
        <v>124</v>
      </c>
      <c r="D83" s="69">
        <f t="shared" si="10"/>
        <v>130000</v>
      </c>
      <c r="E83" s="70"/>
      <c r="F83" s="69">
        <f t="shared" si="8"/>
        <v>130000</v>
      </c>
      <c r="G83" s="64">
        <v>130000</v>
      </c>
      <c r="H83" s="22"/>
      <c r="I83" s="49">
        <f t="shared" si="11"/>
        <v>0</v>
      </c>
      <c r="J83" s="66" t="e">
        <f t="shared" si="12"/>
        <v>#DIV/0!</v>
      </c>
      <c r="L83" s="73">
        <f t="shared" si="9"/>
        <v>0</v>
      </c>
      <c r="M83" s="71"/>
      <c r="N83" s="71"/>
      <c r="O83" s="71">
        <v>13000</v>
      </c>
      <c r="P83" s="71"/>
      <c r="Q83" s="71">
        <v>-13000</v>
      </c>
      <c r="R83" s="71"/>
      <c r="S83" s="71"/>
      <c r="T83" s="71"/>
      <c r="U83" s="71"/>
      <c r="V83" s="71">
        <v>91000</v>
      </c>
      <c r="W83" s="71">
        <f>13000</f>
        <v>13000</v>
      </c>
      <c r="X83" s="71">
        <v>26000</v>
      </c>
      <c r="Y83" s="22">
        <f t="shared" si="13"/>
        <v>130000</v>
      </c>
      <c r="Z83" s="41">
        <f t="shared" si="14"/>
        <v>0</v>
      </c>
    </row>
    <row r="84" spans="1:26" ht="26.25" customHeight="1">
      <c r="A84" s="1"/>
      <c r="B84" s="20"/>
      <c r="C84" s="68" t="s">
        <v>125</v>
      </c>
      <c r="D84" s="69">
        <f t="shared" si="10"/>
        <v>133000</v>
      </c>
      <c r="E84" s="70"/>
      <c r="F84" s="69">
        <f t="shared" si="8"/>
        <v>133000</v>
      </c>
      <c r="G84" s="64">
        <v>133000</v>
      </c>
      <c r="H84" s="22"/>
      <c r="I84" s="49">
        <f t="shared" si="11"/>
        <v>0</v>
      </c>
      <c r="J84" s="66" t="e">
        <f t="shared" si="12"/>
        <v>#DIV/0!</v>
      </c>
      <c r="L84" s="73">
        <f t="shared" si="9"/>
        <v>0</v>
      </c>
      <c r="M84" s="71"/>
      <c r="N84" s="71"/>
      <c r="O84" s="71">
        <v>13300</v>
      </c>
      <c r="P84" s="71"/>
      <c r="Q84" s="71">
        <v>-13300</v>
      </c>
      <c r="R84" s="71"/>
      <c r="S84" s="71"/>
      <c r="T84" s="71"/>
      <c r="U84" s="71"/>
      <c r="V84" s="71">
        <v>93100</v>
      </c>
      <c r="W84" s="71">
        <f>13300</f>
        <v>13300</v>
      </c>
      <c r="X84" s="71">
        <v>26600</v>
      </c>
      <c r="Y84" s="22">
        <f t="shared" si="13"/>
        <v>133000</v>
      </c>
      <c r="Z84" s="41">
        <f t="shared" si="14"/>
        <v>0</v>
      </c>
    </row>
    <row r="85" spans="1:26" ht="26.25" customHeight="1">
      <c r="A85" s="1"/>
      <c r="B85" s="20"/>
      <c r="C85" s="68" t="s">
        <v>126</v>
      </c>
      <c r="D85" s="69">
        <f t="shared" si="10"/>
        <v>133000</v>
      </c>
      <c r="E85" s="70"/>
      <c r="F85" s="69">
        <f t="shared" si="8"/>
        <v>133000</v>
      </c>
      <c r="G85" s="64">
        <v>133000</v>
      </c>
      <c r="H85" s="22"/>
      <c r="I85" s="49">
        <f t="shared" si="11"/>
        <v>0</v>
      </c>
      <c r="J85" s="66" t="e">
        <f t="shared" si="12"/>
        <v>#DIV/0!</v>
      </c>
      <c r="L85" s="73">
        <f t="shared" si="9"/>
        <v>0</v>
      </c>
      <c r="M85" s="71"/>
      <c r="N85" s="71"/>
      <c r="O85" s="71">
        <v>13300</v>
      </c>
      <c r="P85" s="71"/>
      <c r="Q85" s="71">
        <v>-13300</v>
      </c>
      <c r="R85" s="71"/>
      <c r="S85" s="71"/>
      <c r="T85" s="71"/>
      <c r="U85" s="71"/>
      <c r="V85" s="71">
        <v>93100</v>
      </c>
      <c r="W85" s="71">
        <f>13300</f>
        <v>13300</v>
      </c>
      <c r="X85" s="71">
        <v>26600</v>
      </c>
      <c r="Y85" s="22">
        <f t="shared" si="13"/>
        <v>133000</v>
      </c>
      <c r="Z85" s="41">
        <f t="shared" si="14"/>
        <v>0</v>
      </c>
    </row>
    <row r="86" spans="1:26" ht="26.25" customHeight="1">
      <c r="A86" s="1"/>
      <c r="B86" s="20"/>
      <c r="C86" s="68" t="s">
        <v>127</v>
      </c>
      <c r="D86" s="69">
        <f t="shared" si="10"/>
        <v>116000</v>
      </c>
      <c r="E86" s="70"/>
      <c r="F86" s="69">
        <f t="shared" si="8"/>
        <v>116000</v>
      </c>
      <c r="G86" s="64">
        <v>116000</v>
      </c>
      <c r="H86" s="22"/>
      <c r="I86" s="49">
        <f t="shared" si="11"/>
        <v>0</v>
      </c>
      <c r="J86" s="66" t="e">
        <f t="shared" si="12"/>
        <v>#DIV/0!</v>
      </c>
      <c r="L86" s="73">
        <f t="shared" si="9"/>
        <v>0</v>
      </c>
      <c r="M86" s="71"/>
      <c r="N86" s="71"/>
      <c r="O86" s="71">
        <v>11600</v>
      </c>
      <c r="P86" s="71"/>
      <c r="Q86" s="71">
        <v>-11600</v>
      </c>
      <c r="R86" s="71"/>
      <c r="S86" s="71"/>
      <c r="T86" s="71"/>
      <c r="U86" s="71"/>
      <c r="V86" s="71">
        <v>81200</v>
      </c>
      <c r="W86" s="71">
        <f>11600</f>
        <v>11600</v>
      </c>
      <c r="X86" s="71">
        <v>23200</v>
      </c>
      <c r="Y86" s="22">
        <f t="shared" si="13"/>
        <v>116000</v>
      </c>
      <c r="Z86" s="41">
        <f t="shared" si="14"/>
        <v>0</v>
      </c>
    </row>
    <row r="87" spans="1:26" ht="25.5" customHeight="1">
      <c r="A87" s="1"/>
      <c r="B87" s="20"/>
      <c r="C87" s="68" t="s">
        <v>184</v>
      </c>
      <c r="D87" s="69">
        <f>G87</f>
        <v>394000</v>
      </c>
      <c r="E87" s="70"/>
      <c r="F87" s="69">
        <f>G87</f>
        <v>394000</v>
      </c>
      <c r="G87" s="64">
        <v>394000</v>
      </c>
      <c r="H87" s="24">
        <f>35460.63</f>
        <v>35460.63</v>
      </c>
      <c r="I87" s="48">
        <f>H87/D87*100</f>
        <v>9.000159898477158</v>
      </c>
      <c r="J87" s="66">
        <f t="shared" si="12"/>
        <v>90.00159898477158</v>
      </c>
      <c r="L87" s="73">
        <f t="shared" si="9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3"/>
        <v>394000</v>
      </c>
      <c r="Z87" s="41">
        <f t="shared" si="14"/>
        <v>0</v>
      </c>
    </row>
    <row r="88" spans="1:26" ht="26.25" customHeight="1">
      <c r="A88" s="1"/>
      <c r="B88" s="20"/>
      <c r="C88" s="68" t="s">
        <v>128</v>
      </c>
      <c r="D88" s="69">
        <f t="shared" si="10"/>
        <v>180000</v>
      </c>
      <c r="E88" s="70"/>
      <c r="F88" s="69">
        <f t="shared" si="8"/>
        <v>180000</v>
      </c>
      <c r="G88" s="64">
        <v>180000</v>
      </c>
      <c r="H88" s="22"/>
      <c r="I88" s="49">
        <f t="shared" si="11"/>
        <v>0</v>
      </c>
      <c r="J88" s="66" t="e">
        <f t="shared" si="12"/>
        <v>#DIV/0!</v>
      </c>
      <c r="L88" s="73">
        <f t="shared" si="9"/>
        <v>0</v>
      </c>
      <c r="M88" s="71"/>
      <c r="N88" s="71"/>
      <c r="O88" s="71">
        <v>18000</v>
      </c>
      <c r="P88" s="71"/>
      <c r="Q88" s="71">
        <v>-18000</v>
      </c>
      <c r="R88" s="71"/>
      <c r="S88" s="71"/>
      <c r="T88" s="71"/>
      <c r="U88" s="71"/>
      <c r="V88" s="71">
        <v>126000</v>
      </c>
      <c r="W88" s="71">
        <v>18000</v>
      </c>
      <c r="X88" s="71">
        <v>36000</v>
      </c>
      <c r="Y88" s="22">
        <f t="shared" si="13"/>
        <v>180000</v>
      </c>
      <c r="Z88" s="41">
        <f t="shared" si="14"/>
        <v>0</v>
      </c>
    </row>
    <row r="89" spans="1:26" ht="26.25" customHeight="1">
      <c r="A89" s="1"/>
      <c r="B89" s="20"/>
      <c r="C89" s="68" t="s">
        <v>129</v>
      </c>
      <c r="D89" s="69">
        <f t="shared" si="10"/>
        <v>106000</v>
      </c>
      <c r="E89" s="70"/>
      <c r="F89" s="69">
        <f t="shared" si="8"/>
        <v>106000</v>
      </c>
      <c r="G89" s="64">
        <v>106000</v>
      </c>
      <c r="H89" s="22"/>
      <c r="I89" s="49">
        <f t="shared" si="11"/>
        <v>0</v>
      </c>
      <c r="J89" s="66" t="e">
        <f t="shared" si="12"/>
        <v>#DIV/0!</v>
      </c>
      <c r="L89" s="73">
        <f t="shared" si="9"/>
        <v>0</v>
      </c>
      <c r="M89" s="71"/>
      <c r="N89" s="71"/>
      <c r="O89" s="71">
        <v>10600</v>
      </c>
      <c r="P89" s="71"/>
      <c r="Q89" s="71">
        <v>-10600</v>
      </c>
      <c r="R89" s="71"/>
      <c r="S89" s="71"/>
      <c r="T89" s="71"/>
      <c r="U89" s="71"/>
      <c r="V89" s="71">
        <v>74200</v>
      </c>
      <c r="W89" s="71">
        <v>10600</v>
      </c>
      <c r="X89" s="71">
        <v>21200</v>
      </c>
      <c r="Y89" s="22">
        <f t="shared" si="13"/>
        <v>106000</v>
      </c>
      <c r="Z89" s="41">
        <f t="shared" si="14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4">
        <v>232000</v>
      </c>
      <c r="H90" s="22"/>
      <c r="I90" s="49">
        <f t="shared" si="11"/>
        <v>0</v>
      </c>
      <c r="J90" s="66" t="e">
        <f t="shared" si="12"/>
        <v>#DIV/0!</v>
      </c>
      <c r="L90" s="73">
        <f t="shared" si="9"/>
        <v>0</v>
      </c>
      <c r="M90" s="71"/>
      <c r="N90" s="71"/>
      <c r="O90" s="71">
        <v>23200</v>
      </c>
      <c r="P90" s="71"/>
      <c r="Q90" s="71">
        <v>-23200</v>
      </c>
      <c r="R90" s="71"/>
      <c r="S90" s="71"/>
      <c r="T90" s="71"/>
      <c r="U90" s="71"/>
      <c r="V90" s="71">
        <v>162400</v>
      </c>
      <c r="W90" s="71">
        <v>23200</v>
      </c>
      <c r="X90" s="71">
        <v>46400</v>
      </c>
      <c r="Y90" s="22">
        <f t="shared" si="13"/>
        <v>232000</v>
      </c>
      <c r="Z90" s="41">
        <f t="shared" si="14"/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4">
        <v>603000</v>
      </c>
      <c r="H91" s="22"/>
      <c r="I91" s="49">
        <f aca="true" t="shared" si="15" ref="I91:I137">H91/D91*100</f>
        <v>0</v>
      </c>
      <c r="J91" s="66">
        <f t="shared" si="12"/>
        <v>0</v>
      </c>
      <c r="L91" s="73">
        <f aca="true" t="shared" si="16" ref="L91:L137">H91-(M91+N91+O91+P91+Q91+R91)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aca="true" t="shared" si="17" ref="Y91:Y137">SUM(M91:X91)</f>
        <v>603000</v>
      </c>
      <c r="Z91" s="41">
        <f t="shared" si="14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4">
        <f>118000+193000</f>
        <v>311000</v>
      </c>
      <c r="H92" s="22"/>
      <c r="I92" s="49">
        <f t="shared" si="15"/>
        <v>0</v>
      </c>
      <c r="J92" s="66">
        <f aca="true" t="shared" si="18" ref="J92:J137">H92/(N92+O92+P92+Q92)*100</f>
        <v>0</v>
      </c>
      <c r="L92" s="73">
        <f t="shared" si="16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t="shared" si="17"/>
        <v>311000</v>
      </c>
      <c r="Z92" s="41">
        <f t="shared" si="14"/>
        <v>0</v>
      </c>
    </row>
    <row r="93" spans="1:26" ht="45" customHeight="1">
      <c r="A93" s="1"/>
      <c r="B93" s="20"/>
      <c r="C93" s="52" t="s">
        <v>47</v>
      </c>
      <c r="D93" s="24">
        <f>E93+F93</f>
        <v>450000</v>
      </c>
      <c r="E93" s="26"/>
      <c r="F93" s="24">
        <v>450000</v>
      </c>
      <c r="G93" s="53">
        <f>F93</f>
        <v>450000</v>
      </c>
      <c r="H93" s="24"/>
      <c r="I93" s="49">
        <f t="shared" si="15"/>
        <v>0</v>
      </c>
      <c r="J93" s="66">
        <f t="shared" si="18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41">
        <f t="shared" si="14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4">
        <v>116000</v>
      </c>
      <c r="H94" s="24"/>
      <c r="I94" s="49">
        <f t="shared" si="15"/>
        <v>0</v>
      </c>
      <c r="J94" s="66">
        <f t="shared" si="18"/>
        <v>0</v>
      </c>
      <c r="L94" s="73">
        <f t="shared" si="16"/>
        <v>-81600</v>
      </c>
      <c r="M94" s="71"/>
      <c r="N94" s="71"/>
      <c r="O94" s="71">
        <v>11600</v>
      </c>
      <c r="P94" s="71"/>
      <c r="Q94" s="71">
        <f>-11600+81600</f>
        <v>70000</v>
      </c>
      <c r="R94" s="71"/>
      <c r="S94" s="71"/>
      <c r="T94" s="71"/>
      <c r="U94" s="71">
        <f>81200-81200</f>
        <v>0</v>
      </c>
      <c r="V94" s="71"/>
      <c r="W94" s="71">
        <f>34800-400</f>
        <v>34400</v>
      </c>
      <c r="X94" s="71"/>
      <c r="Y94" s="22">
        <f t="shared" si="17"/>
        <v>116000</v>
      </c>
      <c r="Z94" s="41">
        <f t="shared" si="14"/>
        <v>0</v>
      </c>
    </row>
    <row r="95" spans="1:26" ht="47.25" customHeight="1">
      <c r="A95" s="1"/>
      <c r="B95" s="20"/>
      <c r="C95" s="52" t="s">
        <v>46</v>
      </c>
      <c r="D95" s="24">
        <f>E95+F95</f>
        <v>240000</v>
      </c>
      <c r="E95" s="26"/>
      <c r="F95" s="24">
        <v>240000</v>
      </c>
      <c r="G95" s="53">
        <f>F95</f>
        <v>240000</v>
      </c>
      <c r="H95" s="24"/>
      <c r="I95" s="49">
        <f t="shared" si="15"/>
        <v>0</v>
      </c>
      <c r="J95" s="66">
        <f t="shared" si="18"/>
        <v>0</v>
      </c>
      <c r="L95" s="73">
        <f t="shared" si="16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41">
        <f t="shared" si="14"/>
        <v>0</v>
      </c>
    </row>
    <row r="96" spans="1:26" ht="25.5" customHeight="1">
      <c r="A96" s="1"/>
      <c r="B96" s="20"/>
      <c r="C96" s="68" t="s">
        <v>134</v>
      </c>
      <c r="D96" s="69">
        <f aca="true" t="shared" si="19" ref="D96:D103">G96</f>
        <v>580000</v>
      </c>
      <c r="E96" s="70"/>
      <c r="F96" s="69">
        <f aca="true" t="shared" si="20" ref="F96:F103">G96</f>
        <v>580000</v>
      </c>
      <c r="G96" s="64">
        <v>580000</v>
      </c>
      <c r="H96" s="24"/>
      <c r="I96" s="49">
        <f t="shared" si="15"/>
        <v>0</v>
      </c>
      <c r="J96" s="66" t="e">
        <f t="shared" si="18"/>
        <v>#DIV/0!</v>
      </c>
      <c r="L96" s="73">
        <f t="shared" si="16"/>
        <v>0</v>
      </c>
      <c r="M96" s="71"/>
      <c r="N96" s="71"/>
      <c r="O96" s="71">
        <v>58000</v>
      </c>
      <c r="P96" s="71"/>
      <c r="Q96" s="71">
        <v>-58000</v>
      </c>
      <c r="R96" s="71"/>
      <c r="S96" s="71"/>
      <c r="T96" s="71"/>
      <c r="U96" s="71">
        <v>406000</v>
      </c>
      <c r="V96" s="71"/>
      <c r="W96" s="71">
        <v>174000</v>
      </c>
      <c r="X96" s="71"/>
      <c r="Y96" s="22">
        <f t="shared" si="17"/>
        <v>580000</v>
      </c>
      <c r="Z96" s="41">
        <f t="shared" si="14"/>
        <v>0</v>
      </c>
    </row>
    <row r="97" spans="1:26" ht="45" customHeight="1">
      <c r="A97" s="1"/>
      <c r="B97" s="20"/>
      <c r="C97" s="68" t="s">
        <v>135</v>
      </c>
      <c r="D97" s="69">
        <f t="shared" si="19"/>
        <v>133000</v>
      </c>
      <c r="E97" s="70"/>
      <c r="F97" s="69">
        <f t="shared" si="20"/>
        <v>133000</v>
      </c>
      <c r="G97" s="64">
        <v>133000</v>
      </c>
      <c r="H97" s="24"/>
      <c r="I97" s="49">
        <f t="shared" si="15"/>
        <v>0</v>
      </c>
      <c r="J97" s="66" t="e">
        <f t="shared" si="18"/>
        <v>#DIV/0!</v>
      </c>
      <c r="L97" s="73">
        <f t="shared" si="16"/>
        <v>0</v>
      </c>
      <c r="M97" s="71"/>
      <c r="N97" s="71"/>
      <c r="O97" s="71">
        <v>13300</v>
      </c>
      <c r="P97" s="71"/>
      <c r="Q97" s="71">
        <v>-13300</v>
      </c>
      <c r="R97" s="71"/>
      <c r="S97" s="71"/>
      <c r="T97" s="71"/>
      <c r="U97" s="71">
        <v>93100</v>
      </c>
      <c r="V97" s="71"/>
      <c r="W97" s="71">
        <v>39900</v>
      </c>
      <c r="X97" s="71"/>
      <c r="Y97" s="22">
        <f t="shared" si="17"/>
        <v>133000</v>
      </c>
      <c r="Z97" s="41">
        <f t="shared" si="14"/>
        <v>0</v>
      </c>
    </row>
    <row r="98" spans="1:26" ht="24" customHeight="1">
      <c r="A98" s="1"/>
      <c r="B98" s="20"/>
      <c r="C98" s="68" t="s">
        <v>136</v>
      </c>
      <c r="D98" s="69">
        <f t="shared" si="19"/>
        <v>133000</v>
      </c>
      <c r="E98" s="70"/>
      <c r="F98" s="69">
        <f t="shared" si="20"/>
        <v>133000</v>
      </c>
      <c r="G98" s="64">
        <v>133000</v>
      </c>
      <c r="H98" s="24"/>
      <c r="I98" s="49">
        <f t="shared" si="15"/>
        <v>0</v>
      </c>
      <c r="J98" s="66" t="e">
        <f t="shared" si="18"/>
        <v>#DIV/0!</v>
      </c>
      <c r="L98" s="73">
        <f t="shared" si="16"/>
        <v>0</v>
      </c>
      <c r="M98" s="71"/>
      <c r="N98" s="71"/>
      <c r="O98" s="71">
        <v>13300</v>
      </c>
      <c r="P98" s="71"/>
      <c r="Q98" s="71">
        <v>-13300</v>
      </c>
      <c r="R98" s="71"/>
      <c r="S98" s="71"/>
      <c r="T98" s="71"/>
      <c r="U98" s="71">
        <v>93100</v>
      </c>
      <c r="V98" s="71"/>
      <c r="W98" s="71">
        <v>39900</v>
      </c>
      <c r="X98" s="71"/>
      <c r="Y98" s="22">
        <f t="shared" si="17"/>
        <v>133000</v>
      </c>
      <c r="Z98" s="41">
        <f t="shared" si="14"/>
        <v>0</v>
      </c>
    </row>
    <row r="99" spans="1:26" ht="25.5" customHeight="1">
      <c r="A99" s="1"/>
      <c r="B99" s="20"/>
      <c r="C99" s="68" t="s">
        <v>137</v>
      </c>
      <c r="D99" s="69">
        <f t="shared" si="19"/>
        <v>232000</v>
      </c>
      <c r="E99" s="70"/>
      <c r="F99" s="69">
        <f t="shared" si="20"/>
        <v>232000</v>
      </c>
      <c r="G99" s="64">
        <v>232000</v>
      </c>
      <c r="H99" s="24"/>
      <c r="I99" s="49">
        <f t="shared" si="15"/>
        <v>0</v>
      </c>
      <c r="J99" s="66" t="e">
        <f t="shared" si="18"/>
        <v>#DIV/0!</v>
      </c>
      <c r="L99" s="73">
        <f t="shared" si="16"/>
        <v>0</v>
      </c>
      <c r="M99" s="71"/>
      <c r="N99" s="71"/>
      <c r="O99" s="71">
        <v>23200</v>
      </c>
      <c r="P99" s="71"/>
      <c r="Q99" s="71">
        <v>-23200</v>
      </c>
      <c r="R99" s="71"/>
      <c r="S99" s="71"/>
      <c r="T99" s="71"/>
      <c r="U99" s="71">
        <v>162400</v>
      </c>
      <c r="V99" s="71"/>
      <c r="W99" s="71">
        <v>69600</v>
      </c>
      <c r="X99" s="71"/>
      <c r="Y99" s="22">
        <f t="shared" si="17"/>
        <v>232000</v>
      </c>
      <c r="Z99" s="41">
        <f t="shared" si="14"/>
        <v>0</v>
      </c>
    </row>
    <row r="100" spans="1:26" ht="25.5" customHeight="1">
      <c r="A100" s="1"/>
      <c r="B100" s="20"/>
      <c r="C100" s="68" t="s">
        <v>138</v>
      </c>
      <c r="D100" s="69">
        <f t="shared" si="19"/>
        <v>133000</v>
      </c>
      <c r="E100" s="70"/>
      <c r="F100" s="69">
        <f t="shared" si="20"/>
        <v>133000</v>
      </c>
      <c r="G100" s="64">
        <v>133000</v>
      </c>
      <c r="H100" s="24"/>
      <c r="I100" s="49">
        <f t="shared" si="15"/>
        <v>0</v>
      </c>
      <c r="J100" s="66" t="e">
        <f t="shared" si="18"/>
        <v>#DIV/0!</v>
      </c>
      <c r="L100" s="73">
        <f t="shared" si="16"/>
        <v>0</v>
      </c>
      <c r="M100" s="71"/>
      <c r="N100" s="71"/>
      <c r="O100" s="71">
        <v>13300</v>
      </c>
      <c r="P100" s="71"/>
      <c r="Q100" s="71">
        <v>-13300</v>
      </c>
      <c r="R100" s="71"/>
      <c r="S100" s="71"/>
      <c r="T100" s="71"/>
      <c r="U100" s="71">
        <v>93100</v>
      </c>
      <c r="V100" s="71"/>
      <c r="W100" s="71">
        <v>39900</v>
      </c>
      <c r="X100" s="71"/>
      <c r="Y100" s="22">
        <f t="shared" si="17"/>
        <v>133000</v>
      </c>
      <c r="Z100" s="41">
        <f t="shared" si="14"/>
        <v>0</v>
      </c>
    </row>
    <row r="101" spans="1:26" ht="27" customHeight="1">
      <c r="A101" s="1"/>
      <c r="B101" s="20"/>
      <c r="C101" s="68" t="s">
        <v>139</v>
      </c>
      <c r="D101" s="69">
        <f t="shared" si="19"/>
        <v>615100</v>
      </c>
      <c r="E101" s="70"/>
      <c r="F101" s="69">
        <f t="shared" si="20"/>
        <v>615100</v>
      </c>
      <c r="G101" s="64">
        <f>767000-151900</f>
        <v>615100</v>
      </c>
      <c r="H101" s="64">
        <f>32000+25000+400000+155501.4</f>
        <v>612501.4</v>
      </c>
      <c r="I101" s="48">
        <f t="shared" si="15"/>
        <v>99.57753210860022</v>
      </c>
      <c r="J101" s="50">
        <f t="shared" si="18"/>
        <v>99.64946246355686</v>
      </c>
      <c r="L101" s="73">
        <f t="shared" si="16"/>
        <v>-2154.5999999999767</v>
      </c>
      <c r="M101" s="75"/>
      <c r="N101" s="75"/>
      <c r="O101" s="75">
        <v>76700</v>
      </c>
      <c r="P101" s="75">
        <f>400000-9653</f>
        <v>390347</v>
      </c>
      <c r="Q101" s="75">
        <v>147609</v>
      </c>
      <c r="R101" s="75"/>
      <c r="S101" s="75"/>
      <c r="T101" s="75"/>
      <c r="U101" s="75">
        <f>536900-400000-67081-69819</f>
        <v>0</v>
      </c>
      <c r="V101" s="75"/>
      <c r="W101" s="75">
        <f>153400-75166-77790</f>
        <v>444</v>
      </c>
      <c r="X101" s="75"/>
      <c r="Y101" s="22">
        <f t="shared" si="17"/>
        <v>615100</v>
      </c>
      <c r="Z101" s="41">
        <f t="shared" si="14"/>
        <v>0</v>
      </c>
    </row>
    <row r="102" spans="1:26" ht="25.5" customHeight="1">
      <c r="A102" s="1"/>
      <c r="B102" s="20"/>
      <c r="C102" s="68" t="s">
        <v>140</v>
      </c>
      <c r="D102" s="69">
        <f t="shared" si="19"/>
        <v>979000</v>
      </c>
      <c r="E102" s="70"/>
      <c r="F102" s="69">
        <f t="shared" si="20"/>
        <v>979000</v>
      </c>
      <c r="G102" s="64">
        <v>979000</v>
      </c>
      <c r="H102" s="64">
        <f>28000+20000+360000+130576.93</f>
        <v>538576.9299999999</v>
      </c>
      <c r="I102" s="48">
        <f t="shared" si="15"/>
        <v>55.01296527068437</v>
      </c>
      <c r="J102" s="50">
        <f t="shared" si="18"/>
        <v>91.18654763033496</v>
      </c>
      <c r="L102" s="73">
        <f t="shared" si="16"/>
        <v>-52055.070000000065</v>
      </c>
      <c r="M102" s="75"/>
      <c r="N102" s="75"/>
      <c r="O102" s="75">
        <v>97900</v>
      </c>
      <c r="P102" s="75">
        <v>360000</v>
      </c>
      <c r="Q102" s="75">
        <v>132732</v>
      </c>
      <c r="R102" s="75"/>
      <c r="S102" s="75"/>
      <c r="T102" s="75"/>
      <c r="U102" s="75">
        <f>685300-360000-132732</f>
        <v>192568</v>
      </c>
      <c r="V102" s="75"/>
      <c r="W102" s="75">
        <v>195800</v>
      </c>
      <c r="X102" s="75"/>
      <c r="Y102" s="22">
        <f t="shared" si="17"/>
        <v>979000</v>
      </c>
      <c r="Z102" s="41">
        <f t="shared" si="14"/>
        <v>0</v>
      </c>
    </row>
    <row r="103" spans="1:26" ht="27" customHeight="1">
      <c r="A103" s="1"/>
      <c r="B103" s="20"/>
      <c r="C103" s="68" t="s">
        <v>141</v>
      </c>
      <c r="D103" s="69">
        <f t="shared" si="19"/>
        <v>493000</v>
      </c>
      <c r="E103" s="70"/>
      <c r="F103" s="69">
        <f t="shared" si="20"/>
        <v>493000</v>
      </c>
      <c r="G103" s="64">
        <f>560000-67000</f>
        <v>493000</v>
      </c>
      <c r="H103" s="64"/>
      <c r="I103" s="49">
        <f t="shared" si="15"/>
        <v>0</v>
      </c>
      <c r="J103" s="66">
        <f t="shared" si="18"/>
        <v>0</v>
      </c>
      <c r="L103" s="73">
        <f t="shared" si="16"/>
        <v>-212659</v>
      </c>
      <c r="M103" s="75"/>
      <c r="N103" s="75"/>
      <c r="O103" s="75">
        <v>56000</v>
      </c>
      <c r="P103" s="75">
        <f>504000-67000</f>
        <v>437000</v>
      </c>
      <c r="Q103" s="75">
        <v>-280341</v>
      </c>
      <c r="R103" s="75"/>
      <c r="S103" s="75"/>
      <c r="T103" s="75"/>
      <c r="U103" s="75">
        <f>392000-392000+202551</f>
        <v>202551</v>
      </c>
      <c r="V103" s="75"/>
      <c r="W103" s="75">
        <f>112000-112000+77790</f>
        <v>77790</v>
      </c>
      <c r="X103" s="75"/>
      <c r="Y103" s="22">
        <f t="shared" si="17"/>
        <v>493000</v>
      </c>
      <c r="Z103" s="41">
        <f t="shared" si="14"/>
        <v>0</v>
      </c>
    </row>
    <row r="104" spans="1:26" ht="43.5" customHeight="1">
      <c r="A104" s="1"/>
      <c r="B104" s="20"/>
      <c r="C104" s="52" t="s">
        <v>44</v>
      </c>
      <c r="D104" s="24">
        <f>E104+F104</f>
        <v>134745</v>
      </c>
      <c r="E104" s="26"/>
      <c r="F104" s="24">
        <v>134745</v>
      </c>
      <c r="G104" s="53">
        <f>F104</f>
        <v>134745</v>
      </c>
      <c r="H104" s="64"/>
      <c r="I104" s="49">
        <f t="shared" si="15"/>
        <v>0</v>
      </c>
      <c r="J104" s="66">
        <f t="shared" si="18"/>
        <v>0</v>
      </c>
      <c r="L104" s="73">
        <f t="shared" si="16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41">
        <f t="shared" si="14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1" ref="D105:D111">G105</f>
        <v>2516000</v>
      </c>
      <c r="E105" s="70"/>
      <c r="F105" s="69">
        <f aca="true" t="shared" si="22" ref="F105:F111">G105</f>
        <v>2516000</v>
      </c>
      <c r="G105" s="64">
        <f>2400000+116000</f>
        <v>2516000</v>
      </c>
      <c r="H105" s="64">
        <f>86000</f>
        <v>86000</v>
      </c>
      <c r="I105" s="48">
        <f t="shared" si="15"/>
        <v>3.418124006359301</v>
      </c>
      <c r="J105" s="50">
        <f t="shared" si="18"/>
        <v>34.181240063593</v>
      </c>
      <c r="L105" s="73">
        <f t="shared" si="16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41">
        <f t="shared" si="14"/>
        <v>0</v>
      </c>
    </row>
    <row r="106" spans="1:26" ht="27" customHeight="1">
      <c r="A106" s="1"/>
      <c r="B106" s="20"/>
      <c r="C106" s="68" t="s">
        <v>143</v>
      </c>
      <c r="D106" s="69">
        <f t="shared" si="21"/>
        <v>2034000</v>
      </c>
      <c r="E106" s="70"/>
      <c r="F106" s="69">
        <f t="shared" si="22"/>
        <v>2034000</v>
      </c>
      <c r="G106" s="64">
        <v>2034000</v>
      </c>
      <c r="H106" s="64">
        <f>57425.03</f>
        <v>57425.03</v>
      </c>
      <c r="I106" s="48">
        <f t="shared" si="15"/>
        <v>2.8232561455260567</v>
      </c>
      <c r="J106" s="66">
        <f t="shared" si="18"/>
        <v>28.23256145526057</v>
      </c>
      <c r="L106" s="73">
        <f t="shared" si="16"/>
        <v>-145974.97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41">
        <f t="shared" si="14"/>
        <v>0</v>
      </c>
    </row>
    <row r="107" spans="1:26" ht="25.5" customHeight="1">
      <c r="A107" s="1"/>
      <c r="B107" s="20"/>
      <c r="C107" s="68" t="s">
        <v>144</v>
      </c>
      <c r="D107" s="69">
        <f t="shared" si="21"/>
        <v>3501000</v>
      </c>
      <c r="E107" s="70"/>
      <c r="F107" s="69">
        <f t="shared" si="22"/>
        <v>3501000</v>
      </c>
      <c r="G107" s="64">
        <f>2301000+1200000</f>
        <v>3501000</v>
      </c>
      <c r="H107" s="64">
        <f>1100000+1156000+18212.82+1065275</f>
        <v>3339487.82</v>
      </c>
      <c r="I107" s="48">
        <f t="shared" si="15"/>
        <v>95.3866843758926</v>
      </c>
      <c r="J107" s="50">
        <f t="shared" si="18"/>
        <v>95.3866843758926</v>
      </c>
      <c r="L107" s="73">
        <f t="shared" si="16"/>
        <v>-161512.18000000017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41">
        <f t="shared" si="14"/>
        <v>0</v>
      </c>
    </row>
    <row r="108" spans="1:26" ht="25.5" customHeight="1">
      <c r="A108" s="1"/>
      <c r="B108" s="20"/>
      <c r="C108" s="68" t="s">
        <v>185</v>
      </c>
      <c r="D108" s="69">
        <f t="shared" si="21"/>
        <v>1472000</v>
      </c>
      <c r="E108" s="70"/>
      <c r="F108" s="69">
        <f t="shared" si="22"/>
        <v>1472000</v>
      </c>
      <c r="G108" s="64">
        <f>767000+528000+177000</f>
        <v>1472000</v>
      </c>
      <c r="H108" s="64">
        <f>33000+26000+1050000</f>
        <v>1109000</v>
      </c>
      <c r="I108" s="48">
        <f t="shared" si="15"/>
        <v>75.33967391304348</v>
      </c>
      <c r="J108" s="50">
        <f t="shared" si="18"/>
        <v>75.33967391304348</v>
      </c>
      <c r="L108" s="73">
        <f t="shared" si="16"/>
        <v>-363000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41">
        <f t="shared" si="14"/>
        <v>0</v>
      </c>
    </row>
    <row r="109" spans="1:26" ht="27" customHeight="1">
      <c r="A109" s="1"/>
      <c r="B109" s="20"/>
      <c r="C109" s="68" t="s">
        <v>145</v>
      </c>
      <c r="D109" s="69">
        <f t="shared" si="21"/>
        <v>367000</v>
      </c>
      <c r="E109" s="70"/>
      <c r="F109" s="69">
        <f t="shared" si="22"/>
        <v>367000</v>
      </c>
      <c r="G109" s="64">
        <v>367000</v>
      </c>
      <c r="H109" s="64">
        <f>67000+51000</f>
        <v>118000</v>
      </c>
      <c r="I109" s="48">
        <f t="shared" si="15"/>
        <v>32.15258855585831</v>
      </c>
      <c r="J109" s="50">
        <f t="shared" si="18"/>
        <v>100</v>
      </c>
      <c r="L109" s="73">
        <f t="shared" si="16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41">
        <f aca="true" t="shared" si="23" ref="Z109:Z137">Y109-D109</f>
        <v>0</v>
      </c>
    </row>
    <row r="110" spans="1:26" ht="28.5" customHeight="1">
      <c r="A110" s="1"/>
      <c r="B110" s="20"/>
      <c r="C110" s="68" t="s">
        <v>146</v>
      </c>
      <c r="D110" s="69">
        <f t="shared" si="21"/>
        <v>837000</v>
      </c>
      <c r="E110" s="70"/>
      <c r="F110" s="69">
        <f t="shared" si="22"/>
        <v>837000</v>
      </c>
      <c r="G110" s="64">
        <f>770000+67000</f>
        <v>837000</v>
      </c>
      <c r="H110" s="64">
        <f>21000+23000</f>
        <v>44000</v>
      </c>
      <c r="I110" s="48">
        <f t="shared" si="15"/>
        <v>5.256869772998805</v>
      </c>
      <c r="J110" s="50">
        <f t="shared" si="18"/>
        <v>5.256869772998805</v>
      </c>
      <c r="L110" s="73">
        <f t="shared" si="16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41">
        <f t="shared" si="23"/>
        <v>0</v>
      </c>
    </row>
    <row r="111" spans="1:26" ht="21.75" customHeight="1">
      <c r="A111" s="1"/>
      <c r="B111" s="20"/>
      <c r="C111" s="68" t="s">
        <v>147</v>
      </c>
      <c r="D111" s="69">
        <f t="shared" si="21"/>
        <v>300000</v>
      </c>
      <c r="E111" s="70"/>
      <c r="F111" s="69">
        <f t="shared" si="22"/>
        <v>300000</v>
      </c>
      <c r="G111" s="64">
        <f>767000-467000</f>
        <v>300000</v>
      </c>
      <c r="H111" s="64">
        <f>15000</f>
        <v>15000</v>
      </c>
      <c r="I111" s="48">
        <f t="shared" si="15"/>
        <v>5</v>
      </c>
      <c r="J111" s="50">
        <f t="shared" si="18"/>
        <v>5</v>
      </c>
      <c r="L111" s="73">
        <f t="shared" si="16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41">
        <f t="shared" si="23"/>
        <v>0</v>
      </c>
    </row>
    <row r="112" spans="1:26" ht="41.25" customHeight="1">
      <c r="A112" s="1"/>
      <c r="B112" s="20"/>
      <c r="C112" s="52" t="s">
        <v>45</v>
      </c>
      <c r="D112" s="24">
        <f>E112+F112</f>
        <v>70000</v>
      </c>
      <c r="E112" s="26"/>
      <c r="F112" s="24">
        <v>70000</v>
      </c>
      <c r="G112" s="53">
        <f>F112</f>
        <v>70000</v>
      </c>
      <c r="H112" s="24"/>
      <c r="I112" s="49">
        <f t="shared" si="15"/>
        <v>0</v>
      </c>
      <c r="J112" s="66">
        <f t="shared" si="18"/>
        <v>0</v>
      </c>
      <c r="L112" s="73">
        <f t="shared" si="16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41">
        <f t="shared" si="23"/>
        <v>0</v>
      </c>
    </row>
    <row r="113" spans="1:26" ht="38.25" customHeight="1">
      <c r="A113" s="1"/>
      <c r="B113" s="20"/>
      <c r="C113" s="68" t="s">
        <v>188</v>
      </c>
      <c r="D113" s="69">
        <f aca="true" t="shared" si="24" ref="D113:D137">G113</f>
        <v>918900</v>
      </c>
      <c r="E113" s="70"/>
      <c r="F113" s="69">
        <f aca="true" t="shared" si="25" ref="F113:F137">G113</f>
        <v>918900</v>
      </c>
      <c r="G113" s="64">
        <f>767000+151900</f>
        <v>918900</v>
      </c>
      <c r="H113" s="24"/>
      <c r="I113" s="49">
        <f t="shared" si="15"/>
        <v>0</v>
      </c>
      <c r="J113" s="66">
        <f t="shared" si="18"/>
        <v>0</v>
      </c>
      <c r="L113" s="73">
        <f t="shared" si="16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41">
        <f t="shared" si="23"/>
        <v>0</v>
      </c>
    </row>
    <row r="114" spans="1:26" ht="21.75" customHeight="1">
      <c r="A114" s="1"/>
      <c r="B114" s="20"/>
      <c r="C114" s="68" t="s">
        <v>148</v>
      </c>
      <c r="D114" s="69">
        <f t="shared" si="24"/>
        <v>1473500</v>
      </c>
      <c r="E114" s="70"/>
      <c r="F114" s="69">
        <f t="shared" si="25"/>
        <v>1473500</v>
      </c>
      <c r="G114" s="64">
        <v>1473500</v>
      </c>
      <c r="H114" s="24"/>
      <c r="I114" s="49">
        <f t="shared" si="15"/>
        <v>0</v>
      </c>
      <c r="J114" s="66" t="e">
        <f t="shared" si="18"/>
        <v>#DIV/0!</v>
      </c>
      <c r="L114" s="73">
        <f t="shared" si="16"/>
        <v>-573500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41">
        <f t="shared" si="23"/>
        <v>0</v>
      </c>
    </row>
    <row r="115" spans="1:26" ht="27.75" customHeight="1">
      <c r="A115" s="1"/>
      <c r="B115" s="20"/>
      <c r="C115" s="68" t="s">
        <v>149</v>
      </c>
      <c r="D115" s="69">
        <f t="shared" si="24"/>
        <v>4845598</v>
      </c>
      <c r="E115" s="70"/>
      <c r="F115" s="69">
        <f t="shared" si="25"/>
        <v>4845598</v>
      </c>
      <c r="G115" s="64">
        <f>4555598+290000</f>
        <v>4845598</v>
      </c>
      <c r="H115" s="64">
        <f>1339880+284982.79+729917+12975.28+802117+33772</f>
        <v>3203644.07</v>
      </c>
      <c r="I115" s="48">
        <f t="shared" si="15"/>
        <v>66.1145243579843</v>
      </c>
      <c r="J115" s="50">
        <f t="shared" si="18"/>
        <v>94.50277492625368</v>
      </c>
      <c r="L115" s="73">
        <f t="shared" si="16"/>
        <v>-186355.93000000017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41">
        <f t="shared" si="23"/>
        <v>0</v>
      </c>
    </row>
    <row r="116" spans="1:26" ht="31.5" customHeight="1">
      <c r="A116" s="1"/>
      <c r="B116" s="20"/>
      <c r="C116" s="68" t="s">
        <v>150</v>
      </c>
      <c r="D116" s="69">
        <f t="shared" si="24"/>
        <v>5206455</v>
      </c>
      <c r="E116" s="70"/>
      <c r="F116" s="69">
        <f t="shared" si="25"/>
        <v>5206455</v>
      </c>
      <c r="G116" s="64">
        <v>5206455</v>
      </c>
      <c r="H116" s="64">
        <f>2533359+1399329</f>
        <v>3932688</v>
      </c>
      <c r="I116" s="48">
        <f t="shared" si="15"/>
        <v>75.53485048848016</v>
      </c>
      <c r="J116" s="50">
        <f t="shared" si="18"/>
        <v>75.53485048848016</v>
      </c>
      <c r="L116" s="73">
        <f t="shared" si="16"/>
        <v>-1273767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41">
        <f t="shared" si="23"/>
        <v>0</v>
      </c>
    </row>
    <row r="117" spans="1:26" ht="33" customHeight="1">
      <c r="A117" s="1"/>
      <c r="B117" s="20"/>
      <c r="C117" s="68" t="s">
        <v>151</v>
      </c>
      <c r="D117" s="69">
        <f t="shared" si="24"/>
        <v>4678629</v>
      </c>
      <c r="E117" s="70"/>
      <c r="F117" s="69">
        <f t="shared" si="25"/>
        <v>4678629</v>
      </c>
      <c r="G117" s="64">
        <v>4678629</v>
      </c>
      <c r="H117" s="64"/>
      <c r="I117" s="49">
        <f t="shared" si="15"/>
        <v>0</v>
      </c>
      <c r="J117" s="66" t="e">
        <f t="shared" si="18"/>
        <v>#DIV/0!</v>
      </c>
      <c r="L117" s="73">
        <f t="shared" si="16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41">
        <f t="shared" si="23"/>
        <v>0</v>
      </c>
    </row>
    <row r="118" spans="1:26" ht="28.5" customHeight="1">
      <c r="A118" s="1"/>
      <c r="B118" s="20"/>
      <c r="C118" s="68" t="s">
        <v>186</v>
      </c>
      <c r="D118" s="69">
        <f t="shared" si="24"/>
        <v>443000</v>
      </c>
      <c r="E118" s="70"/>
      <c r="F118" s="69">
        <f t="shared" si="25"/>
        <v>443000</v>
      </c>
      <c r="G118" s="64">
        <f>367000+76000</f>
        <v>443000</v>
      </c>
      <c r="H118" s="64">
        <f>34000+24000+80000</f>
        <v>138000</v>
      </c>
      <c r="I118" s="48">
        <f t="shared" si="15"/>
        <v>31.15124153498871</v>
      </c>
      <c r="J118" s="50">
        <f t="shared" si="18"/>
        <v>38.93905191873589</v>
      </c>
      <c r="L118" s="73">
        <f t="shared" si="16"/>
        <v>-216400</v>
      </c>
      <c r="M118" s="71"/>
      <c r="N118" s="71"/>
      <c r="O118" s="71">
        <f>58000</f>
        <v>58000</v>
      </c>
      <c r="P118" s="71">
        <f>7600</f>
        <v>7600</v>
      </c>
      <c r="Q118" s="71">
        <f>288800</f>
        <v>288800</v>
      </c>
      <c r="R118" s="71"/>
      <c r="S118" s="71"/>
      <c r="T118" s="71"/>
      <c r="U118" s="71">
        <f>36700-36700</f>
        <v>0</v>
      </c>
      <c r="V118" s="71">
        <f>252100-252100</f>
        <v>0</v>
      </c>
      <c r="W118" s="71"/>
      <c r="X118" s="71">
        <f>88600</f>
        <v>88600</v>
      </c>
      <c r="Y118" s="22">
        <f t="shared" si="17"/>
        <v>443000</v>
      </c>
      <c r="Z118" s="41">
        <f t="shared" si="23"/>
        <v>0</v>
      </c>
    </row>
    <row r="119" spans="1:26" ht="28.5" customHeight="1">
      <c r="A119" s="1"/>
      <c r="B119" s="20"/>
      <c r="C119" s="68" t="s">
        <v>152</v>
      </c>
      <c r="D119" s="69">
        <f t="shared" si="24"/>
        <v>3829000</v>
      </c>
      <c r="E119" s="70"/>
      <c r="F119" s="69">
        <f t="shared" si="25"/>
        <v>3829000</v>
      </c>
      <c r="G119" s="64">
        <v>3829000</v>
      </c>
      <c r="H119" s="64"/>
      <c r="I119" s="49">
        <f t="shared" si="15"/>
        <v>0</v>
      </c>
      <c r="J119" s="66" t="e">
        <f t="shared" si="18"/>
        <v>#DIV/0!</v>
      </c>
      <c r="L119" s="73">
        <f t="shared" si="16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41">
        <f t="shared" si="23"/>
        <v>0</v>
      </c>
    </row>
    <row r="120" spans="1:26" ht="24" customHeight="1">
      <c r="A120" s="1"/>
      <c r="B120" s="20"/>
      <c r="C120" s="68" t="s">
        <v>153</v>
      </c>
      <c r="D120" s="69">
        <f t="shared" si="24"/>
        <v>3700000</v>
      </c>
      <c r="E120" s="70"/>
      <c r="F120" s="69">
        <f t="shared" si="25"/>
        <v>3700000</v>
      </c>
      <c r="G120" s="64">
        <v>3700000</v>
      </c>
      <c r="H120" s="64">
        <f>1800000</f>
        <v>1800000</v>
      </c>
      <c r="I120" s="48">
        <f t="shared" si="15"/>
        <v>48.64864864864865</v>
      </c>
      <c r="J120" s="50">
        <f t="shared" si="18"/>
        <v>100</v>
      </c>
      <c r="L120" s="73">
        <f t="shared" si="16"/>
        <v>-1900000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41">
        <f t="shared" si="23"/>
        <v>0</v>
      </c>
    </row>
    <row r="121" spans="1:26" ht="24" customHeight="1">
      <c r="A121" s="1"/>
      <c r="B121" s="20"/>
      <c r="C121" s="68" t="s">
        <v>154</v>
      </c>
      <c r="D121" s="69">
        <f t="shared" si="24"/>
        <v>400000</v>
      </c>
      <c r="E121" s="70"/>
      <c r="F121" s="69">
        <f t="shared" si="25"/>
        <v>400000</v>
      </c>
      <c r="G121" s="64">
        <v>400000</v>
      </c>
      <c r="H121" s="64">
        <f>173000</f>
        <v>173000</v>
      </c>
      <c r="I121" s="49">
        <f t="shared" si="15"/>
        <v>43.25</v>
      </c>
      <c r="J121" s="66">
        <f t="shared" si="18"/>
        <v>43.25</v>
      </c>
      <c r="L121" s="73">
        <f t="shared" si="16"/>
        <v>-227000</v>
      </c>
      <c r="M121" s="71"/>
      <c r="N121" s="71"/>
      <c r="O121" s="71">
        <v>200000</v>
      </c>
      <c r="P121" s="71"/>
      <c r="Q121" s="71">
        <f>200000</f>
        <v>200000</v>
      </c>
      <c r="R121" s="71"/>
      <c r="S121" s="71"/>
      <c r="T121" s="71"/>
      <c r="U121" s="71">
        <f>200000-200000</f>
        <v>0</v>
      </c>
      <c r="V121" s="71"/>
      <c r="W121" s="71"/>
      <c r="X121" s="71"/>
      <c r="Y121" s="22">
        <f t="shared" si="17"/>
        <v>400000</v>
      </c>
      <c r="Z121" s="41">
        <f t="shared" si="23"/>
        <v>0</v>
      </c>
    </row>
    <row r="122" spans="1:26" ht="23.25" customHeight="1">
      <c r="A122" s="1"/>
      <c r="B122" s="20"/>
      <c r="C122" s="68" t="s">
        <v>155</v>
      </c>
      <c r="D122" s="69">
        <f t="shared" si="24"/>
        <v>117000</v>
      </c>
      <c r="E122" s="70"/>
      <c r="F122" s="69">
        <f t="shared" si="25"/>
        <v>117000</v>
      </c>
      <c r="G122" s="64">
        <v>117000</v>
      </c>
      <c r="H122" s="64"/>
      <c r="I122" s="49">
        <f t="shared" si="15"/>
        <v>0</v>
      </c>
      <c r="J122" s="66" t="e">
        <f t="shared" si="18"/>
        <v>#DIV/0!</v>
      </c>
      <c r="L122" s="73">
        <f t="shared" si="16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41">
        <f t="shared" si="23"/>
        <v>0</v>
      </c>
    </row>
    <row r="123" spans="1:26" ht="25.5" customHeight="1">
      <c r="A123" s="1"/>
      <c r="B123" s="20"/>
      <c r="C123" s="68" t="s">
        <v>156</v>
      </c>
      <c r="D123" s="69">
        <f t="shared" si="24"/>
        <v>116000</v>
      </c>
      <c r="E123" s="70"/>
      <c r="F123" s="69">
        <f t="shared" si="25"/>
        <v>116000</v>
      </c>
      <c r="G123" s="64">
        <v>116000</v>
      </c>
      <c r="H123" s="64"/>
      <c r="I123" s="49">
        <f t="shared" si="15"/>
        <v>0</v>
      </c>
      <c r="J123" s="66" t="e">
        <f t="shared" si="18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41">
        <f t="shared" si="23"/>
        <v>0</v>
      </c>
    </row>
    <row r="124" spans="1:26" ht="28.5" customHeight="1">
      <c r="A124" s="1"/>
      <c r="B124" s="20"/>
      <c r="C124" s="68" t="s">
        <v>157</v>
      </c>
      <c r="D124" s="69">
        <f t="shared" si="24"/>
        <v>5981700</v>
      </c>
      <c r="E124" s="70"/>
      <c r="F124" s="69">
        <f t="shared" si="25"/>
        <v>5981700</v>
      </c>
      <c r="G124" s="64">
        <v>5981700</v>
      </c>
      <c r="H124" s="64">
        <f>2873000+2837862.43</f>
        <v>5710862.43</v>
      </c>
      <c r="I124" s="48">
        <f t="shared" si="15"/>
        <v>95.47223080395206</v>
      </c>
      <c r="J124" s="50">
        <f t="shared" si="18"/>
        <v>95.47223080395206</v>
      </c>
      <c r="L124" s="73">
        <f t="shared" si="16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41">
        <f t="shared" si="23"/>
        <v>0</v>
      </c>
    </row>
    <row r="125" spans="1:26" ht="26.25" customHeight="1">
      <c r="A125" s="1"/>
      <c r="B125" s="20"/>
      <c r="C125" s="68" t="s">
        <v>158</v>
      </c>
      <c r="D125" s="69">
        <f t="shared" si="24"/>
        <v>935000</v>
      </c>
      <c r="E125" s="70"/>
      <c r="F125" s="69">
        <f t="shared" si="25"/>
        <v>935000</v>
      </c>
      <c r="G125" s="64">
        <v>935000</v>
      </c>
      <c r="H125" s="64" t="s">
        <v>172</v>
      </c>
      <c r="I125" s="49" t="e">
        <f t="shared" si="15"/>
        <v>#VALUE!</v>
      </c>
      <c r="J125" s="66" t="e">
        <f t="shared" si="18"/>
        <v>#VALUE!</v>
      </c>
      <c r="L125" s="73" t="e">
        <f t="shared" si="16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41">
        <f t="shared" si="23"/>
        <v>0</v>
      </c>
    </row>
    <row r="126" spans="1:26" ht="26.25" customHeight="1">
      <c r="A126" s="1"/>
      <c r="B126" s="20"/>
      <c r="C126" s="68" t="s">
        <v>159</v>
      </c>
      <c r="D126" s="69">
        <f t="shared" si="24"/>
        <v>1460000</v>
      </c>
      <c r="E126" s="70"/>
      <c r="F126" s="69">
        <f t="shared" si="25"/>
        <v>1460000</v>
      </c>
      <c r="G126" s="64">
        <v>1460000</v>
      </c>
      <c r="H126" s="64">
        <f>29000</f>
        <v>29000</v>
      </c>
      <c r="I126" s="48">
        <f t="shared" si="15"/>
        <v>1.9863013698630139</v>
      </c>
      <c r="J126" s="50">
        <f t="shared" si="18"/>
        <v>39.726027397260275</v>
      </c>
      <c r="L126" s="73">
        <f t="shared" si="16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41">
        <f t="shared" si="23"/>
        <v>0</v>
      </c>
    </row>
    <row r="127" spans="1:26" ht="26.25" customHeight="1">
      <c r="A127" s="1"/>
      <c r="B127" s="20"/>
      <c r="C127" s="68" t="s">
        <v>160</v>
      </c>
      <c r="D127" s="69">
        <f t="shared" si="24"/>
        <v>1534000</v>
      </c>
      <c r="E127" s="70"/>
      <c r="F127" s="69">
        <f t="shared" si="25"/>
        <v>1534000</v>
      </c>
      <c r="G127" s="64">
        <v>1534000</v>
      </c>
      <c r="H127" s="64">
        <f>81000</f>
        <v>81000</v>
      </c>
      <c r="I127" s="48">
        <f t="shared" si="15"/>
        <v>5.280312907431552</v>
      </c>
      <c r="J127" s="50">
        <f t="shared" si="18"/>
        <v>57.85714285714286</v>
      </c>
      <c r="L127" s="73">
        <f t="shared" si="16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41">
        <f t="shared" si="23"/>
        <v>0</v>
      </c>
    </row>
    <row r="128" spans="1:26" ht="26.25" customHeight="1">
      <c r="A128" s="1"/>
      <c r="B128" s="20"/>
      <c r="C128" s="68" t="s">
        <v>161</v>
      </c>
      <c r="D128" s="69">
        <f t="shared" si="24"/>
        <v>11585000</v>
      </c>
      <c r="E128" s="70"/>
      <c r="F128" s="69">
        <f t="shared" si="25"/>
        <v>11585000</v>
      </c>
      <c r="G128" s="64">
        <f>12352000-767000</f>
        <v>11585000</v>
      </c>
      <c r="H128" s="64">
        <f>159000+364000+191373.72+137000+127000+2799619.35</f>
        <v>3777993.0700000003</v>
      </c>
      <c r="I128" s="48">
        <f t="shared" si="15"/>
        <v>32.61107526974536</v>
      </c>
      <c r="J128" s="50">
        <f t="shared" si="18"/>
        <v>86.38897909670989</v>
      </c>
      <c r="L128" s="73">
        <f t="shared" si="16"/>
        <v>-595241.9299999997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279453.33+2552462</f>
        <v>2831915.33</v>
      </c>
      <c r="R128" s="71">
        <f>600000-600000</f>
        <v>0</v>
      </c>
      <c r="S128" s="71">
        <f>419862+105000+67600+360000-952462</f>
        <v>0</v>
      </c>
      <c r="T128" s="71">
        <f>2618790+1100000+123927-1000000</f>
        <v>2842717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41">
        <f t="shared" si="23"/>
        <v>0</v>
      </c>
    </row>
    <row r="129" spans="1:26" ht="26.25" customHeight="1">
      <c r="A129" s="1"/>
      <c r="B129" s="20"/>
      <c r="C129" s="68" t="s">
        <v>162</v>
      </c>
      <c r="D129" s="69">
        <f t="shared" si="24"/>
        <v>3200000</v>
      </c>
      <c r="E129" s="70"/>
      <c r="F129" s="69">
        <f t="shared" si="25"/>
        <v>3200000</v>
      </c>
      <c r="G129" s="64">
        <f>700000+2500000</f>
        <v>3200000</v>
      </c>
      <c r="H129" s="64">
        <f>178841+107000+461139+64000+76646.85</f>
        <v>887626.85</v>
      </c>
      <c r="I129" s="48">
        <f t="shared" si="15"/>
        <v>27.7383390625</v>
      </c>
      <c r="J129" s="50">
        <f t="shared" si="18"/>
        <v>36.378149590163936</v>
      </c>
      <c r="L129" s="73">
        <f t="shared" si="16"/>
        <v>-1552373.15</v>
      </c>
      <c r="M129" s="71"/>
      <c r="N129" s="71"/>
      <c r="O129" s="71">
        <v>1700000</v>
      </c>
      <c r="P129" s="71">
        <f>400000-1000000</f>
        <v>-600000</v>
      </c>
      <c r="Q129" s="71">
        <f>350000+990000</f>
        <v>1340000</v>
      </c>
      <c r="R129" s="71">
        <f>400000-400000</f>
        <v>0</v>
      </c>
      <c r="S129" s="71">
        <f>350000+240000-590000</f>
        <v>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41">
        <f t="shared" si="23"/>
        <v>0</v>
      </c>
    </row>
    <row r="130" spans="1:26" ht="26.25" customHeight="1">
      <c r="A130" s="1"/>
      <c r="B130" s="20"/>
      <c r="C130" s="68" t="s">
        <v>163</v>
      </c>
      <c r="D130" s="69">
        <f t="shared" si="24"/>
        <v>33000</v>
      </c>
      <c r="E130" s="70"/>
      <c r="F130" s="69">
        <f t="shared" si="25"/>
        <v>33000</v>
      </c>
      <c r="G130" s="64">
        <v>33000</v>
      </c>
      <c r="H130" s="64"/>
      <c r="I130" s="49">
        <f t="shared" si="15"/>
        <v>0</v>
      </c>
      <c r="J130" s="66">
        <f t="shared" si="18"/>
        <v>0</v>
      </c>
      <c r="L130" s="73">
        <f t="shared" si="16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41">
        <f t="shared" si="23"/>
        <v>0</v>
      </c>
    </row>
    <row r="131" spans="1:26" ht="26.25" customHeight="1">
      <c r="A131" s="1"/>
      <c r="B131" s="20"/>
      <c r="C131" s="68" t="s">
        <v>164</v>
      </c>
      <c r="D131" s="69">
        <f t="shared" si="24"/>
        <v>116000</v>
      </c>
      <c r="E131" s="70"/>
      <c r="F131" s="69">
        <f t="shared" si="25"/>
        <v>116000</v>
      </c>
      <c r="G131" s="64">
        <v>116000</v>
      </c>
      <c r="H131" s="24"/>
      <c r="I131" s="49">
        <f t="shared" si="15"/>
        <v>0</v>
      </c>
      <c r="J131" s="66" t="e">
        <f t="shared" si="18"/>
        <v>#DIV/0!</v>
      </c>
      <c r="L131" s="73">
        <f t="shared" si="16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41">
        <f t="shared" si="2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4">
        <v>750000</v>
      </c>
      <c r="H132" s="24"/>
      <c r="I132" s="49">
        <f t="shared" si="15"/>
        <v>0</v>
      </c>
      <c r="J132" s="66" t="e">
        <f t="shared" si="18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41">
        <f t="shared" si="2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4">
        <v>446000</v>
      </c>
      <c r="H133" s="24"/>
      <c r="I133" s="49">
        <f t="shared" si="15"/>
        <v>0</v>
      </c>
      <c r="J133" s="66" t="e">
        <f t="shared" si="18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41">
        <f t="shared" si="2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4">
        <v>1440000</v>
      </c>
      <c r="H134" s="24"/>
      <c r="I134" s="49">
        <f t="shared" si="15"/>
        <v>0</v>
      </c>
      <c r="J134" s="66" t="e">
        <f t="shared" si="18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41">
        <f t="shared" si="23"/>
        <v>0</v>
      </c>
    </row>
    <row r="135" spans="1:26" ht="26.25" customHeight="1">
      <c r="A135" s="1"/>
      <c r="B135" s="20"/>
      <c r="C135" s="68" t="s">
        <v>166</v>
      </c>
      <c r="D135" s="69">
        <f t="shared" si="24"/>
        <v>722000</v>
      </c>
      <c r="E135" s="70"/>
      <c r="F135" s="69">
        <f t="shared" si="25"/>
        <v>722000</v>
      </c>
      <c r="G135" s="64">
        <v>722000</v>
      </c>
      <c r="H135" s="24">
        <f>283637+170080</f>
        <v>453717</v>
      </c>
      <c r="I135" s="48">
        <f t="shared" si="15"/>
        <v>62.84168975069252</v>
      </c>
      <c r="J135" s="50">
        <f t="shared" si="18"/>
        <v>97.36416309012876</v>
      </c>
      <c r="L135" s="73">
        <f t="shared" si="16"/>
        <v>-38783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41">
        <f t="shared" si="23"/>
        <v>0</v>
      </c>
    </row>
    <row r="136" spans="1:26" ht="26.25" customHeight="1">
      <c r="A136" s="1"/>
      <c r="B136" s="20"/>
      <c r="C136" s="68" t="s">
        <v>167</v>
      </c>
      <c r="D136" s="69">
        <f t="shared" si="24"/>
        <v>72500</v>
      </c>
      <c r="E136" s="70"/>
      <c r="F136" s="69">
        <f t="shared" si="25"/>
        <v>72500</v>
      </c>
      <c r="G136" s="64">
        <v>72500</v>
      </c>
      <c r="H136" s="24"/>
      <c r="I136" s="49">
        <f t="shared" si="15"/>
        <v>0</v>
      </c>
      <c r="J136" s="66">
        <f t="shared" si="18"/>
        <v>0</v>
      </c>
      <c r="L136" s="73">
        <f t="shared" si="16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41">
        <f t="shared" si="23"/>
        <v>0</v>
      </c>
    </row>
    <row r="137" spans="1:26" ht="26.25" customHeight="1">
      <c r="A137" s="1"/>
      <c r="B137" s="20"/>
      <c r="C137" s="68" t="s">
        <v>168</v>
      </c>
      <c r="D137" s="69">
        <f t="shared" si="24"/>
        <v>714000</v>
      </c>
      <c r="E137" s="70"/>
      <c r="F137" s="69">
        <f t="shared" si="25"/>
        <v>714000</v>
      </c>
      <c r="G137" s="64">
        <f>357000+357000</f>
        <v>714000</v>
      </c>
      <c r="H137" s="24"/>
      <c r="I137" s="49">
        <f t="shared" si="15"/>
        <v>0</v>
      </c>
      <c r="J137" s="66">
        <f t="shared" si="18"/>
        <v>0</v>
      </c>
      <c r="L137" s="73">
        <f t="shared" si="16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41">
        <f t="shared" si="23"/>
        <v>0</v>
      </c>
    </row>
    <row r="138" spans="1:26" ht="36" customHeight="1">
      <c r="A138" s="88" t="s">
        <v>77</v>
      </c>
      <c r="B138" s="88"/>
      <c r="C138" s="88"/>
      <c r="D138" s="88"/>
      <c r="E138" s="88"/>
      <c r="F138" s="88"/>
      <c r="G138" s="88"/>
      <c r="H138" s="88"/>
      <c r="I138" s="88"/>
      <c r="J138" s="88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52845200.730000004</v>
      </c>
      <c r="I139" s="45">
        <f>H139/D139*100</f>
        <v>37.372314910680196</v>
      </c>
      <c r="J139" s="45">
        <f>H139/(N139+O139+P139+Q139)*100</f>
        <v>99.443936889729</v>
      </c>
      <c r="K139" s="38"/>
      <c r="L139" s="73">
        <f>H139-(M139+N139+O139+P139+Q139+R139)</f>
        <v>-3075024.269999996</v>
      </c>
      <c r="M139" s="42">
        <f>SUM(M140:M171)</f>
        <v>0</v>
      </c>
      <c r="N139" s="42">
        <f aca="true" t="shared" si="26" ref="N139:X139">SUM(N140:N171)</f>
        <v>1600000</v>
      </c>
      <c r="O139" s="42">
        <f t="shared" si="26"/>
        <v>28719871.54</v>
      </c>
      <c r="P139" s="42">
        <f t="shared" si="26"/>
        <v>16291625</v>
      </c>
      <c r="Q139" s="42">
        <f t="shared" si="26"/>
        <v>6529200</v>
      </c>
      <c r="R139" s="42">
        <f t="shared" si="26"/>
        <v>2779528.46</v>
      </c>
      <c r="S139" s="42">
        <f t="shared" si="26"/>
        <v>13327595</v>
      </c>
      <c r="T139" s="42">
        <f t="shared" si="26"/>
        <v>19129605</v>
      </c>
      <c r="U139" s="42">
        <f t="shared" si="26"/>
        <v>10939435</v>
      </c>
      <c r="V139" s="42">
        <f t="shared" si="26"/>
        <v>11272700</v>
      </c>
      <c r="W139" s="42">
        <f t="shared" si="26"/>
        <v>16342240</v>
      </c>
      <c r="X139" s="42">
        <f t="shared" si="26"/>
        <v>14470200</v>
      </c>
      <c r="Y139" s="42">
        <f>SUM(Y140:Y171)</f>
        <v>141402000</v>
      </c>
      <c r="Z139" s="41">
        <f>Y139-D139</f>
        <v>0</v>
      </c>
    </row>
    <row r="140" spans="1:25" ht="21" customHeight="1">
      <c r="A140" s="58"/>
      <c r="B140" s="58"/>
      <c r="C140" s="21" t="s">
        <v>43</v>
      </c>
      <c r="D140" s="65">
        <f>SUM(D141:D171)</f>
        <v>141402000</v>
      </c>
      <c r="E140" s="65"/>
      <c r="F140" s="65">
        <f>SUM(F141:F171)</f>
        <v>141402000</v>
      </c>
      <c r="G140" s="65">
        <f>SUM(G141:G171)</f>
        <v>141402000</v>
      </c>
      <c r="H140" s="65">
        <f>SUM(H141:H171)</f>
        <v>52845200.730000004</v>
      </c>
      <c r="I140" s="67">
        <f>H140/D140*100</f>
        <v>37.372314910680196</v>
      </c>
      <c r="J140" s="74">
        <f>H140/(N139+O139+P139+Q139)*100</f>
        <v>99.443936889729</v>
      </c>
      <c r="L140" s="73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8"/>
      <c r="B141" s="58"/>
      <c r="C141" s="23" t="s">
        <v>174</v>
      </c>
      <c r="D141" s="62">
        <f>F141</f>
        <v>5000</v>
      </c>
      <c r="E141" s="65"/>
      <c r="F141" s="62">
        <f>G141</f>
        <v>5000</v>
      </c>
      <c r="G141" s="62">
        <v>5000</v>
      </c>
      <c r="H141" s="65"/>
      <c r="I141" s="67"/>
      <c r="J141" s="66" t="e">
        <f aca="true" t="shared" si="27" ref="J141:J147">H141/(N141+O141+P141+Q141)*100</f>
        <v>#DIV/0!</v>
      </c>
      <c r="L141" s="73">
        <f>H141-(M141+N141+O141+P141+Q141+R141)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9" t="s">
        <v>48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8"/>
      <c r="J142" s="66" t="e">
        <f t="shared" si="27"/>
        <v>#DIV/0!</v>
      </c>
      <c r="L142" s="73">
        <f aca="true" t="shared" si="28" ref="L142:L172">H142-(M142+N142+O142+P142+Q142+R142)</f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9" t="s">
        <v>49</v>
      </c>
      <c r="D143" s="62">
        <f aca="true" t="shared" si="29" ref="D143:D171">F143</f>
        <v>11000000</v>
      </c>
      <c r="E143" s="26"/>
      <c r="F143" s="62">
        <f aca="true" t="shared" si="30" ref="F143:F171">G143</f>
        <v>11000000</v>
      </c>
      <c r="G143" s="62">
        <v>11000000</v>
      </c>
      <c r="H143" s="24"/>
      <c r="I143" s="48"/>
      <c r="J143" s="66">
        <f t="shared" si="27"/>
        <v>0</v>
      </c>
      <c r="L143" s="73">
        <f t="shared" si="28"/>
        <v>-200000</v>
      </c>
      <c r="M143" s="51"/>
      <c r="N143" s="51"/>
      <c r="O143" s="51"/>
      <c r="P143" s="51"/>
      <c r="Q143" s="62">
        <v>200000</v>
      </c>
      <c r="R143" s="62"/>
      <c r="S143" s="62">
        <f>200000-200000</f>
        <v>0</v>
      </c>
      <c r="T143" s="62"/>
      <c r="U143" s="62">
        <v>5400000</v>
      </c>
      <c r="V143" s="62"/>
      <c r="W143" s="62">
        <v>2700000</v>
      </c>
      <c r="X143" s="62">
        <v>2700000</v>
      </c>
      <c r="Y143" s="22">
        <f aca="true" t="shared" si="31" ref="Y143:Y171">SUM(M143:X143)</f>
        <v>11000000</v>
      </c>
      <c r="Z143" s="41">
        <f aca="true" t="shared" si="32" ref="Z143:Z171">Y143-D143</f>
        <v>0</v>
      </c>
    </row>
    <row r="144" spans="1:26" ht="28.5" customHeight="1">
      <c r="A144" s="1"/>
      <c r="B144" s="20"/>
      <c r="C144" s="59" t="s">
        <v>50</v>
      </c>
      <c r="D144" s="62">
        <f t="shared" si="29"/>
        <v>1000000</v>
      </c>
      <c r="E144" s="26"/>
      <c r="F144" s="62">
        <f t="shared" si="30"/>
        <v>1000000</v>
      </c>
      <c r="G144" s="62">
        <v>1000000</v>
      </c>
      <c r="H144" s="24"/>
      <c r="I144" s="48"/>
      <c r="J144" s="66" t="e">
        <f t="shared" si="27"/>
        <v>#DIV/0!</v>
      </c>
      <c r="L144" s="73">
        <f t="shared" si="28"/>
        <v>0</v>
      </c>
      <c r="M144" s="51"/>
      <c r="N144" s="51"/>
      <c r="O144" s="51"/>
      <c r="P144" s="51"/>
      <c r="Q144" s="51"/>
      <c r="R144" s="51"/>
      <c r="S144" s="51"/>
      <c r="T144" s="51"/>
      <c r="U144" s="51">
        <v>500000</v>
      </c>
      <c r="V144" s="51"/>
      <c r="W144" s="51"/>
      <c r="X144" s="51">
        <v>500000</v>
      </c>
      <c r="Y144" s="22">
        <f t="shared" si="31"/>
        <v>1000000</v>
      </c>
      <c r="Z144" s="41">
        <f t="shared" si="32"/>
        <v>0</v>
      </c>
    </row>
    <row r="145" spans="1:26" ht="24.75" customHeight="1">
      <c r="A145" s="1"/>
      <c r="B145" s="20"/>
      <c r="C145" s="59" t="s">
        <v>51</v>
      </c>
      <c r="D145" s="62">
        <f t="shared" si="29"/>
        <v>500000</v>
      </c>
      <c r="E145" s="26"/>
      <c r="F145" s="62">
        <f t="shared" si="30"/>
        <v>500000</v>
      </c>
      <c r="G145" s="62">
        <v>500000</v>
      </c>
      <c r="H145" s="24">
        <f>20944</f>
        <v>20944</v>
      </c>
      <c r="I145" s="50">
        <f>H145/G145*100</f>
        <v>4.1888000000000005</v>
      </c>
      <c r="J145" s="50">
        <f>H145/(N145+O145+P145+Q145)*100</f>
        <v>95.19999999999999</v>
      </c>
      <c r="L145" s="73">
        <f t="shared" si="28"/>
        <v>-1056</v>
      </c>
      <c r="M145" s="51"/>
      <c r="N145" s="51"/>
      <c r="O145" s="51"/>
      <c r="P145" s="51"/>
      <c r="Q145" s="62">
        <v>22000</v>
      </c>
      <c r="R145" s="62"/>
      <c r="S145" s="62"/>
      <c r="T145" s="62"/>
      <c r="U145" s="62"/>
      <c r="V145" s="62"/>
      <c r="W145" s="62">
        <f>250000-22000</f>
        <v>228000</v>
      </c>
      <c r="X145" s="62">
        <v>250000</v>
      </c>
      <c r="Y145" s="22">
        <f t="shared" si="31"/>
        <v>500000</v>
      </c>
      <c r="Z145" s="41">
        <f t="shared" si="32"/>
        <v>0</v>
      </c>
    </row>
    <row r="146" spans="1:26" ht="24.75" customHeight="1">
      <c r="A146" s="1"/>
      <c r="B146" s="20"/>
      <c r="C146" s="59" t="s">
        <v>52</v>
      </c>
      <c r="D146" s="62">
        <f t="shared" si="29"/>
        <v>8750000</v>
      </c>
      <c r="E146" s="26"/>
      <c r="F146" s="62">
        <f t="shared" si="30"/>
        <v>8750000</v>
      </c>
      <c r="G146" s="62">
        <v>8750000</v>
      </c>
      <c r="H146" s="62">
        <f>1500000+2300000</f>
        <v>3800000</v>
      </c>
      <c r="I146" s="50">
        <f>H146/G146*100</f>
        <v>43.42857142857143</v>
      </c>
      <c r="J146" s="50">
        <f t="shared" si="27"/>
        <v>253.33333333333331</v>
      </c>
      <c r="L146" s="73">
        <f t="shared" si="28"/>
        <v>-400000</v>
      </c>
      <c r="M146" s="51"/>
      <c r="N146" s="51"/>
      <c r="O146" s="51">
        <f>4375000-2875000</f>
        <v>1500000</v>
      </c>
      <c r="P146" s="51"/>
      <c r="Q146" s="51"/>
      <c r="R146" s="51">
        <v>2700000</v>
      </c>
      <c r="S146" s="51">
        <f>2000000+2091666.54-2700000</f>
        <v>1391666.54</v>
      </c>
      <c r="T146" s="51">
        <f>2375000+783333.46</f>
        <v>3158333.46</v>
      </c>
      <c r="U146" s="51"/>
      <c r="V146" s="51"/>
      <c r="W146" s="51"/>
      <c r="X146" s="51"/>
      <c r="Y146" s="22">
        <f t="shared" si="31"/>
        <v>8750000</v>
      </c>
      <c r="Z146" s="41">
        <f t="shared" si="32"/>
        <v>0</v>
      </c>
    </row>
    <row r="147" spans="1:26" ht="26.25" customHeight="1">
      <c r="A147" s="1"/>
      <c r="B147" s="20"/>
      <c r="C147" s="59" t="s">
        <v>53</v>
      </c>
      <c r="D147" s="62">
        <f t="shared" si="29"/>
        <v>8600000</v>
      </c>
      <c r="E147" s="26"/>
      <c r="F147" s="62">
        <f t="shared" si="30"/>
        <v>8600000</v>
      </c>
      <c r="G147" s="62">
        <v>8600000</v>
      </c>
      <c r="H147" s="62">
        <f>3300000+3111386.39+40091.81-1500000</f>
        <v>4951478.2</v>
      </c>
      <c r="I147" s="50">
        <f>H147/G147*100</f>
        <v>57.575327906976746</v>
      </c>
      <c r="J147" s="66">
        <f t="shared" si="27"/>
        <v>76.7433075015499</v>
      </c>
      <c r="L147" s="73">
        <f t="shared" si="28"/>
        <v>-1500521.7999999998</v>
      </c>
      <c r="M147" s="51"/>
      <c r="N147" s="51"/>
      <c r="O147" s="51">
        <f>4300000-1000000</f>
        <v>3300000</v>
      </c>
      <c r="P147" s="51"/>
      <c r="Q147" s="51">
        <v>3152000</v>
      </c>
      <c r="R147" s="51"/>
      <c r="S147" s="51">
        <v>2000000</v>
      </c>
      <c r="T147" s="51">
        <v>148000</v>
      </c>
      <c r="U147" s="51"/>
      <c r="V147" s="51"/>
      <c r="W147" s="51"/>
      <c r="X147" s="51"/>
      <c r="Y147" s="22">
        <f t="shared" si="31"/>
        <v>8600000</v>
      </c>
      <c r="Z147" s="41">
        <f t="shared" si="32"/>
        <v>0</v>
      </c>
    </row>
    <row r="148" spans="1:26" ht="26.25" customHeight="1">
      <c r="A148" s="1"/>
      <c r="B148" s="20"/>
      <c r="C148" s="59" t="s">
        <v>54</v>
      </c>
      <c r="D148" s="62">
        <f t="shared" si="29"/>
        <v>5000000</v>
      </c>
      <c r="E148" s="26"/>
      <c r="F148" s="62">
        <f t="shared" si="30"/>
        <v>5000000</v>
      </c>
      <c r="G148" s="62">
        <v>5000000</v>
      </c>
      <c r="H148" s="62"/>
      <c r="I148" s="50"/>
      <c r="J148" s="66" t="e">
        <f aca="true" t="shared" si="33" ref="J148:J171">H148/(N148+O148+P148+Q148)*100</f>
        <v>#DIV/0!</v>
      </c>
      <c r="L148" s="73">
        <f t="shared" si="28"/>
        <v>0</v>
      </c>
      <c r="M148" s="51"/>
      <c r="N148" s="51"/>
      <c r="O148" s="51"/>
      <c r="P148" s="51"/>
      <c r="Q148" s="51"/>
      <c r="R148" s="51"/>
      <c r="S148" s="51">
        <v>350000</v>
      </c>
      <c r="T148" s="51">
        <v>350000</v>
      </c>
      <c r="U148" s="51"/>
      <c r="V148" s="51">
        <v>2150000</v>
      </c>
      <c r="W148" s="51">
        <v>2150000</v>
      </c>
      <c r="X148" s="51"/>
      <c r="Y148" s="22">
        <f t="shared" si="31"/>
        <v>5000000</v>
      </c>
      <c r="Z148" s="41">
        <f t="shared" si="32"/>
        <v>0</v>
      </c>
    </row>
    <row r="149" spans="1:26" ht="24" customHeight="1">
      <c r="A149" s="1"/>
      <c r="B149" s="20"/>
      <c r="C149" s="59" t="s">
        <v>55</v>
      </c>
      <c r="D149" s="62">
        <f t="shared" si="29"/>
        <v>7700000</v>
      </c>
      <c r="E149" s="26"/>
      <c r="F149" s="62">
        <f t="shared" si="30"/>
        <v>7700000</v>
      </c>
      <c r="G149" s="62">
        <v>7700000</v>
      </c>
      <c r="H149" s="62"/>
      <c r="I149" s="50"/>
      <c r="J149" s="66" t="e">
        <f t="shared" si="33"/>
        <v>#DIV/0!</v>
      </c>
      <c r="L149" s="73">
        <f t="shared" si="28"/>
        <v>0</v>
      </c>
      <c r="M149" s="51"/>
      <c r="N149" s="51"/>
      <c r="O149" s="51"/>
      <c r="P149" s="51"/>
      <c r="Q149" s="51"/>
      <c r="R149" s="51"/>
      <c r="S149" s="51">
        <v>150000</v>
      </c>
      <c r="T149" s="51"/>
      <c r="U149" s="51">
        <v>3775000</v>
      </c>
      <c r="V149" s="51"/>
      <c r="W149" s="51">
        <v>714800</v>
      </c>
      <c r="X149" s="51">
        <v>3060200</v>
      </c>
      <c r="Y149" s="22">
        <f t="shared" si="31"/>
        <v>7700000</v>
      </c>
      <c r="Z149" s="41">
        <f t="shared" si="32"/>
        <v>0</v>
      </c>
    </row>
    <row r="150" spans="1:26" ht="21" customHeight="1">
      <c r="A150" s="1"/>
      <c r="B150" s="20"/>
      <c r="C150" s="59" t="s">
        <v>56</v>
      </c>
      <c r="D150" s="62">
        <f t="shared" si="29"/>
        <v>1000000</v>
      </c>
      <c r="E150" s="26"/>
      <c r="F150" s="62">
        <f t="shared" si="30"/>
        <v>1000000</v>
      </c>
      <c r="G150" s="62">
        <v>1000000</v>
      </c>
      <c r="H150" s="62"/>
      <c r="I150" s="50"/>
      <c r="J150" s="66" t="e">
        <f t="shared" si="33"/>
        <v>#DIV/0!</v>
      </c>
      <c r="L150" s="73">
        <f t="shared" si="28"/>
        <v>0</v>
      </c>
      <c r="M150" s="51"/>
      <c r="N150" s="51"/>
      <c r="O150" s="51"/>
      <c r="P150" s="51"/>
      <c r="Q150" s="51"/>
      <c r="R150" s="51"/>
      <c r="S150" s="51"/>
      <c r="T150" s="51"/>
      <c r="U150" s="51">
        <v>300000</v>
      </c>
      <c r="V150" s="51"/>
      <c r="W150" s="51">
        <v>700000</v>
      </c>
      <c r="X150" s="51"/>
      <c r="Y150" s="22">
        <f t="shared" si="31"/>
        <v>1000000</v>
      </c>
      <c r="Z150" s="41">
        <f t="shared" si="32"/>
        <v>0</v>
      </c>
    </row>
    <row r="151" spans="1:26" ht="24" customHeight="1">
      <c r="A151" s="1"/>
      <c r="B151" s="20"/>
      <c r="C151" s="59" t="s">
        <v>57</v>
      </c>
      <c r="D151" s="62">
        <f t="shared" si="29"/>
        <v>500000</v>
      </c>
      <c r="E151" s="26"/>
      <c r="F151" s="62">
        <f t="shared" si="30"/>
        <v>500000</v>
      </c>
      <c r="G151" s="62">
        <v>500000</v>
      </c>
      <c r="H151" s="62"/>
      <c r="I151" s="50"/>
      <c r="J151" s="66" t="e">
        <f t="shared" si="33"/>
        <v>#DIV/0!</v>
      </c>
      <c r="L151" s="73">
        <f t="shared" si="28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250000</v>
      </c>
      <c r="V151" s="51"/>
      <c r="W151" s="51">
        <v>250000</v>
      </c>
      <c r="X151" s="51"/>
      <c r="Y151" s="22">
        <f t="shared" si="31"/>
        <v>500000</v>
      </c>
      <c r="Z151" s="41">
        <f t="shared" si="32"/>
        <v>0</v>
      </c>
    </row>
    <row r="152" spans="1:26" ht="24.75" customHeight="1">
      <c r="A152" s="1"/>
      <c r="B152" s="20"/>
      <c r="C152" s="59" t="s">
        <v>58</v>
      </c>
      <c r="D152" s="62">
        <f t="shared" si="29"/>
        <v>5000000</v>
      </c>
      <c r="E152" s="26"/>
      <c r="F152" s="62">
        <f t="shared" si="30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33"/>
        <v>99.87578473790076</v>
      </c>
      <c r="L152" s="73">
        <f t="shared" si="28"/>
        <v>-3782.5099999997765</v>
      </c>
      <c r="M152" s="51"/>
      <c r="N152" s="51"/>
      <c r="O152" s="51"/>
      <c r="P152" s="51">
        <f>1460000+1585125</f>
        <v>3045125</v>
      </c>
      <c r="Q152" s="51"/>
      <c r="R152" s="51"/>
      <c r="S152" s="51">
        <f>2500000-1460000</f>
        <v>1040000</v>
      </c>
      <c r="T152" s="51"/>
      <c r="U152" s="51">
        <v>114435</v>
      </c>
      <c r="V152" s="51"/>
      <c r="W152" s="51">
        <f>2385565-1585125</f>
        <v>800440</v>
      </c>
      <c r="X152" s="51"/>
      <c r="Y152" s="22">
        <f t="shared" si="31"/>
        <v>5000000</v>
      </c>
      <c r="Z152" s="41">
        <f t="shared" si="32"/>
        <v>0</v>
      </c>
    </row>
    <row r="153" spans="1:26" ht="22.5" customHeight="1">
      <c r="A153" s="1"/>
      <c r="B153" s="20"/>
      <c r="C153" s="59" t="s">
        <v>59</v>
      </c>
      <c r="D153" s="62">
        <f t="shared" si="29"/>
        <v>500000</v>
      </c>
      <c r="E153" s="26"/>
      <c r="F153" s="62">
        <f t="shared" si="30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33"/>
        <v>99.2488275862069</v>
      </c>
      <c r="L153" s="73">
        <f t="shared" si="28"/>
        <v>-108.92000000000007</v>
      </c>
      <c r="M153" s="51"/>
      <c r="N153" s="51"/>
      <c r="O153" s="51">
        <f>14500</f>
        <v>14500</v>
      </c>
      <c r="P153" s="51"/>
      <c r="Q153" s="51"/>
      <c r="R153" s="51"/>
      <c r="S153" s="51"/>
      <c r="T153" s="51">
        <f>500000-14500</f>
        <v>485500</v>
      </c>
      <c r="U153" s="51"/>
      <c r="V153" s="51"/>
      <c r="W153" s="51"/>
      <c r="X153" s="51"/>
      <c r="Y153" s="22">
        <f t="shared" si="31"/>
        <v>500000</v>
      </c>
      <c r="Z153" s="41">
        <f t="shared" si="32"/>
        <v>0</v>
      </c>
    </row>
    <row r="154" spans="1:26" ht="26.25" customHeight="1">
      <c r="A154" s="1"/>
      <c r="B154" s="20"/>
      <c r="C154" s="59" t="s">
        <v>60</v>
      </c>
      <c r="D154" s="62">
        <f t="shared" si="29"/>
        <v>1000000</v>
      </c>
      <c r="E154" s="26"/>
      <c r="F154" s="62">
        <f t="shared" si="30"/>
        <v>1000000</v>
      </c>
      <c r="G154" s="62">
        <v>1000000</v>
      </c>
      <c r="H154" s="62"/>
      <c r="I154" s="48"/>
      <c r="J154" s="66">
        <f t="shared" si="33"/>
        <v>0</v>
      </c>
      <c r="L154" s="73">
        <f t="shared" si="28"/>
        <v>-500000</v>
      </c>
      <c r="M154" s="51"/>
      <c r="N154" s="51"/>
      <c r="O154" s="51"/>
      <c r="P154" s="51"/>
      <c r="Q154" s="51">
        <v>500000</v>
      </c>
      <c r="R154" s="51"/>
      <c r="S154" s="51"/>
      <c r="T154" s="51">
        <v>500000</v>
      </c>
      <c r="U154" s="51"/>
      <c r="V154" s="51"/>
      <c r="W154" s="51"/>
      <c r="X154" s="51"/>
      <c r="Y154" s="22">
        <f t="shared" si="31"/>
        <v>1000000</v>
      </c>
      <c r="Z154" s="41">
        <f t="shared" si="32"/>
        <v>0</v>
      </c>
    </row>
    <row r="155" spans="1:26" ht="27.75" customHeight="1">
      <c r="A155" s="1"/>
      <c r="B155" s="20"/>
      <c r="C155" s="59" t="s">
        <v>61</v>
      </c>
      <c r="D155" s="62">
        <f t="shared" si="29"/>
        <v>1810000</v>
      </c>
      <c r="E155" s="26"/>
      <c r="F155" s="62">
        <f t="shared" si="30"/>
        <v>1810000</v>
      </c>
      <c r="G155" s="62">
        <v>1810000</v>
      </c>
      <c r="H155" s="62"/>
      <c r="I155" s="48"/>
      <c r="J155" s="66" t="e">
        <f t="shared" si="33"/>
        <v>#DIV/0!</v>
      </c>
      <c r="L155" s="73">
        <f t="shared" si="28"/>
        <v>0</v>
      </c>
      <c r="M155" s="51"/>
      <c r="N155" s="51"/>
      <c r="O155" s="51"/>
      <c r="P155" s="51"/>
      <c r="Q155" s="51"/>
      <c r="R155" s="51"/>
      <c r="S155" s="51"/>
      <c r="T155" s="51">
        <v>100000</v>
      </c>
      <c r="U155" s="51"/>
      <c r="V155" s="51"/>
      <c r="W155" s="51">
        <v>855000</v>
      </c>
      <c r="X155" s="51">
        <v>855000</v>
      </c>
      <c r="Y155" s="22">
        <f t="shared" si="31"/>
        <v>1810000</v>
      </c>
      <c r="Z155" s="41">
        <f t="shared" si="32"/>
        <v>0</v>
      </c>
    </row>
    <row r="156" spans="1:26" ht="27.75" customHeight="1">
      <c r="A156" s="1"/>
      <c r="B156" s="20"/>
      <c r="C156" s="59" t="s">
        <v>62</v>
      </c>
      <c r="D156" s="62">
        <f t="shared" si="29"/>
        <v>37000000</v>
      </c>
      <c r="E156" s="26"/>
      <c r="F156" s="62">
        <f t="shared" si="30"/>
        <v>37000000</v>
      </c>
      <c r="G156" s="62">
        <f>27000000+1993500+8006500</f>
        <v>37000000</v>
      </c>
      <c r="H156" s="62">
        <f>16806225.23+2399840.4+1688728.36+6065043.03+84921.28</f>
        <v>27044758.3</v>
      </c>
      <c r="I156" s="50">
        <f>H156/G156*100</f>
        <v>73.09394135135136</v>
      </c>
      <c r="J156" s="50">
        <f t="shared" si="33"/>
        <v>100.27904966721668</v>
      </c>
      <c r="L156" s="73">
        <f t="shared" si="28"/>
        <v>75258.30000000075</v>
      </c>
      <c r="M156" s="62"/>
      <c r="N156" s="62"/>
      <c r="O156" s="62">
        <f>13500000-17000</f>
        <v>13483000</v>
      </c>
      <c r="P156" s="62">
        <f>700000+3000000+2700000+8006500</f>
        <v>14406500</v>
      </c>
      <c r="Q156" s="62">
        <f>-468000-3152000+2700000</f>
        <v>-920000</v>
      </c>
      <c r="R156" s="62"/>
      <c r="S156" s="62">
        <f>6750000-700000-3000000-2700000+205000</f>
        <v>555000</v>
      </c>
      <c r="T156" s="62">
        <f>6750000+17000+3152000-2700000</f>
        <v>7219000</v>
      </c>
      <c r="U156" s="62"/>
      <c r="V156" s="62">
        <f>1833500+100000</f>
        <v>1933500</v>
      </c>
      <c r="W156" s="62">
        <v>163000</v>
      </c>
      <c r="X156" s="62">
        <v>160000</v>
      </c>
      <c r="Y156" s="22">
        <f t="shared" si="31"/>
        <v>37000000</v>
      </c>
      <c r="Z156" s="41">
        <f t="shared" si="32"/>
        <v>0</v>
      </c>
    </row>
    <row r="157" spans="1:26" ht="24.75" customHeight="1">
      <c r="A157" s="1"/>
      <c r="B157" s="20"/>
      <c r="C157" s="59" t="s">
        <v>175</v>
      </c>
      <c r="D157" s="62">
        <f t="shared" si="29"/>
        <v>1500000</v>
      </c>
      <c r="E157" s="26"/>
      <c r="F157" s="62">
        <f t="shared" si="30"/>
        <v>1500000</v>
      </c>
      <c r="G157" s="62">
        <v>1500000</v>
      </c>
      <c r="H157" s="62"/>
      <c r="I157" s="50"/>
      <c r="J157" s="66">
        <f t="shared" si="33"/>
        <v>0</v>
      </c>
      <c r="L157" s="73">
        <f t="shared" si="28"/>
        <v>-300000</v>
      </c>
      <c r="M157" s="51"/>
      <c r="N157" s="51"/>
      <c r="O157" s="51"/>
      <c r="P157" s="51"/>
      <c r="Q157" s="51">
        <v>300000</v>
      </c>
      <c r="R157" s="51"/>
      <c r="S157" s="51"/>
      <c r="T157" s="51"/>
      <c r="U157" s="51">
        <v>600000</v>
      </c>
      <c r="V157" s="51">
        <v>600000</v>
      </c>
      <c r="W157" s="51"/>
      <c r="X157" s="51"/>
      <c r="Y157" s="22">
        <f t="shared" si="31"/>
        <v>1500000</v>
      </c>
      <c r="Z157" s="41">
        <f t="shared" si="32"/>
        <v>0</v>
      </c>
    </row>
    <row r="158" spans="1:26" ht="45" customHeight="1">
      <c r="A158" s="1"/>
      <c r="B158" s="20"/>
      <c r="C158" s="60" t="s">
        <v>63</v>
      </c>
      <c r="D158" s="62">
        <f t="shared" si="29"/>
        <v>3200000</v>
      </c>
      <c r="E158" s="26"/>
      <c r="F158" s="62">
        <f t="shared" si="30"/>
        <v>3200000</v>
      </c>
      <c r="G158" s="63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33"/>
        <v>93.17147142857144</v>
      </c>
      <c r="L158" s="73">
        <f t="shared" si="28"/>
        <v>-95599.3999999999</v>
      </c>
      <c r="M158" s="51"/>
      <c r="N158" s="51">
        <v>1600000</v>
      </c>
      <c r="O158" s="51">
        <f>1600000-700000</f>
        <v>900000</v>
      </c>
      <c r="P158" s="51"/>
      <c r="Q158" s="51">
        <f>-1100000</f>
        <v>-1100000</v>
      </c>
      <c r="R158" s="51"/>
      <c r="S158" s="51">
        <f>700000</f>
        <v>700000</v>
      </c>
      <c r="T158" s="51">
        <f>1100000</f>
        <v>1100000</v>
      </c>
      <c r="U158" s="51"/>
      <c r="V158" s="51"/>
      <c r="W158" s="51"/>
      <c r="X158" s="51"/>
      <c r="Y158" s="22">
        <f t="shared" si="31"/>
        <v>3200000</v>
      </c>
      <c r="Z158" s="41">
        <f t="shared" si="32"/>
        <v>0</v>
      </c>
    </row>
    <row r="159" spans="1:26" ht="45" customHeight="1">
      <c r="A159" s="1"/>
      <c r="B159" s="20"/>
      <c r="C159" s="59" t="s">
        <v>64</v>
      </c>
      <c r="D159" s="62">
        <f t="shared" si="29"/>
        <v>147000</v>
      </c>
      <c r="E159" s="26"/>
      <c r="F159" s="62">
        <f t="shared" si="30"/>
        <v>147000</v>
      </c>
      <c r="G159" s="62">
        <v>147000</v>
      </c>
      <c r="H159" s="24"/>
      <c r="I159" s="48"/>
      <c r="J159" s="66" t="e">
        <f t="shared" si="33"/>
        <v>#DIV/0!</v>
      </c>
      <c r="L159" s="73">
        <f t="shared" si="28"/>
        <v>0</v>
      </c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>
        <v>147000</v>
      </c>
      <c r="X159" s="51"/>
      <c r="Y159" s="22">
        <f t="shared" si="31"/>
        <v>147000</v>
      </c>
      <c r="Z159" s="41">
        <f t="shared" si="32"/>
        <v>0</v>
      </c>
    </row>
    <row r="160" spans="1:26" ht="45" customHeight="1">
      <c r="A160" s="1"/>
      <c r="B160" s="20"/>
      <c r="C160" s="59" t="s">
        <v>65</v>
      </c>
      <c r="D160" s="62">
        <f t="shared" si="29"/>
        <v>1036000</v>
      </c>
      <c r="E160" s="26"/>
      <c r="F160" s="62">
        <f t="shared" si="30"/>
        <v>1036000</v>
      </c>
      <c r="G160" s="62">
        <v>1036000</v>
      </c>
      <c r="H160" s="24"/>
      <c r="I160" s="48"/>
      <c r="J160" s="66" t="e">
        <f t="shared" si="33"/>
        <v>#DIV/0!</v>
      </c>
      <c r="L160" s="73">
        <f t="shared" si="28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1036000</v>
      </c>
      <c r="X160" s="51"/>
      <c r="Y160" s="22">
        <f t="shared" si="31"/>
        <v>1036000</v>
      </c>
      <c r="Z160" s="41">
        <f t="shared" si="32"/>
        <v>0</v>
      </c>
    </row>
    <row r="161" spans="1:26" ht="45" customHeight="1">
      <c r="A161" s="1"/>
      <c r="B161" s="20"/>
      <c r="C161" s="59" t="s">
        <v>66</v>
      </c>
      <c r="D161" s="62">
        <f t="shared" si="29"/>
        <v>137000</v>
      </c>
      <c r="E161" s="26"/>
      <c r="F161" s="62">
        <f t="shared" si="30"/>
        <v>137000</v>
      </c>
      <c r="G161" s="62">
        <v>137000</v>
      </c>
      <c r="H161" s="24"/>
      <c r="I161" s="48"/>
      <c r="J161" s="66" t="e">
        <f t="shared" si="33"/>
        <v>#DIV/0!</v>
      </c>
      <c r="L161" s="73">
        <f t="shared" si="28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137000</v>
      </c>
      <c r="X161" s="51"/>
      <c r="Y161" s="22">
        <f t="shared" si="31"/>
        <v>137000</v>
      </c>
      <c r="Z161" s="41">
        <f t="shared" si="32"/>
        <v>0</v>
      </c>
    </row>
    <row r="162" spans="1:26" ht="45" customHeight="1">
      <c r="A162" s="1"/>
      <c r="B162" s="20"/>
      <c r="C162" s="59" t="s">
        <v>67</v>
      </c>
      <c r="D162" s="62">
        <f t="shared" si="29"/>
        <v>254000</v>
      </c>
      <c r="E162" s="26"/>
      <c r="F162" s="62">
        <f t="shared" si="30"/>
        <v>254000</v>
      </c>
      <c r="G162" s="62">
        <v>254000</v>
      </c>
      <c r="H162" s="24"/>
      <c r="I162" s="48"/>
      <c r="J162" s="66" t="e">
        <f t="shared" si="33"/>
        <v>#DIV/0!</v>
      </c>
      <c r="L162" s="73">
        <f t="shared" si="28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254000</v>
      </c>
      <c r="X162" s="51"/>
      <c r="Y162" s="22">
        <f t="shared" si="31"/>
        <v>254000</v>
      </c>
      <c r="Z162" s="41">
        <f t="shared" si="32"/>
        <v>0</v>
      </c>
    </row>
    <row r="163" spans="1:26" ht="45" customHeight="1">
      <c r="A163" s="1"/>
      <c r="B163" s="20"/>
      <c r="C163" s="59" t="s">
        <v>68</v>
      </c>
      <c r="D163" s="62">
        <f t="shared" si="29"/>
        <v>400000</v>
      </c>
      <c r="E163" s="26"/>
      <c r="F163" s="62">
        <f t="shared" si="30"/>
        <v>400000</v>
      </c>
      <c r="G163" s="62">
        <v>400000</v>
      </c>
      <c r="H163" s="24"/>
      <c r="I163" s="48"/>
      <c r="J163" s="66" t="e">
        <f t="shared" si="33"/>
        <v>#DIV/0!</v>
      </c>
      <c r="L163" s="73">
        <f t="shared" si="28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400000</v>
      </c>
      <c r="X163" s="51"/>
      <c r="Y163" s="22">
        <f t="shared" si="31"/>
        <v>400000</v>
      </c>
      <c r="Z163" s="41">
        <f t="shared" si="32"/>
        <v>0</v>
      </c>
    </row>
    <row r="164" spans="1:26" ht="45" customHeight="1">
      <c r="A164" s="1"/>
      <c r="B164" s="20"/>
      <c r="C164" s="61" t="s">
        <v>69</v>
      </c>
      <c r="D164" s="62">
        <f t="shared" si="29"/>
        <v>248000</v>
      </c>
      <c r="E164" s="26"/>
      <c r="F164" s="62">
        <f t="shared" si="30"/>
        <v>248000</v>
      </c>
      <c r="G164" s="64">
        <v>248000</v>
      </c>
      <c r="H164" s="24"/>
      <c r="I164" s="48"/>
      <c r="J164" s="66" t="e">
        <f t="shared" si="33"/>
        <v>#DIV/0!</v>
      </c>
      <c r="L164" s="73">
        <f t="shared" si="28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248000</v>
      </c>
      <c r="X164" s="51"/>
      <c r="Y164" s="22">
        <f t="shared" si="31"/>
        <v>248000</v>
      </c>
      <c r="Z164" s="41">
        <f t="shared" si="32"/>
        <v>0</v>
      </c>
    </row>
    <row r="165" spans="1:26" ht="45" customHeight="1">
      <c r="A165" s="1"/>
      <c r="B165" s="20"/>
      <c r="C165" s="59" t="s">
        <v>70</v>
      </c>
      <c r="D165" s="62">
        <f t="shared" si="29"/>
        <v>3300000</v>
      </c>
      <c r="E165" s="26"/>
      <c r="F165" s="62">
        <f t="shared" si="30"/>
        <v>3300000</v>
      </c>
      <c r="G165" s="62">
        <v>3300000</v>
      </c>
      <c r="H165" s="63">
        <f>2455.85+748029.6</f>
        <v>750485.45</v>
      </c>
      <c r="I165" s="50">
        <f>H165/G165*100</f>
        <v>22.741983333333334</v>
      </c>
      <c r="J165" s="50">
        <f t="shared" si="33"/>
        <v>93.51843613707165</v>
      </c>
      <c r="L165" s="73">
        <f t="shared" si="28"/>
        <v>-52014.55000000005</v>
      </c>
      <c r="M165" s="51"/>
      <c r="N165" s="51"/>
      <c r="O165" s="51">
        <f>2500</f>
        <v>2500</v>
      </c>
      <c r="P165" s="51"/>
      <c r="Q165" s="51">
        <f>1000000-200000</f>
        <v>800000</v>
      </c>
      <c r="R165" s="51"/>
      <c r="S165" s="51"/>
      <c r="T165" s="51">
        <f>2300000-2500+200000</f>
        <v>2497500</v>
      </c>
      <c r="U165" s="51"/>
      <c r="V165" s="51"/>
      <c r="W165" s="51"/>
      <c r="X165" s="51"/>
      <c r="Y165" s="22">
        <f t="shared" si="31"/>
        <v>3300000</v>
      </c>
      <c r="Z165" s="41">
        <f t="shared" si="32"/>
        <v>0</v>
      </c>
    </row>
    <row r="166" spans="1:26" ht="45" customHeight="1">
      <c r="A166" s="1"/>
      <c r="B166" s="20"/>
      <c r="C166" s="59" t="s">
        <v>71</v>
      </c>
      <c r="D166" s="62">
        <f t="shared" si="29"/>
        <v>12120000</v>
      </c>
      <c r="E166" s="26"/>
      <c r="F166" s="62">
        <f t="shared" si="30"/>
        <v>12120000</v>
      </c>
      <c r="G166" s="62">
        <v>12120000</v>
      </c>
      <c r="H166" s="63">
        <f>37910.17+6413</f>
        <v>44323.17</v>
      </c>
      <c r="I166" s="50">
        <f>H166/G166*100</f>
        <v>0.3657027227722772</v>
      </c>
      <c r="J166" s="50">
        <f t="shared" si="33"/>
        <v>74.87021959459459</v>
      </c>
      <c r="L166" s="73">
        <f t="shared" si="28"/>
        <v>-94405.28999999996</v>
      </c>
      <c r="M166" s="51"/>
      <c r="N166" s="51"/>
      <c r="O166" s="51"/>
      <c r="P166" s="51">
        <f>3300000-1460000-1710000</f>
        <v>130000</v>
      </c>
      <c r="Q166" s="51">
        <f>1329200-1400000</f>
        <v>-70800</v>
      </c>
      <c r="R166" s="51">
        <f>2379528.46-2300000</f>
        <v>79528.45999999996</v>
      </c>
      <c r="S166" s="51">
        <f>330800+1460000+1710000+2300000</f>
        <v>5800800</v>
      </c>
      <c r="T166" s="51">
        <f>1991271.54+1400000</f>
        <v>3391271.54</v>
      </c>
      <c r="U166" s="51"/>
      <c r="V166" s="51">
        <v>2789200</v>
      </c>
      <c r="W166" s="51"/>
      <c r="X166" s="51"/>
      <c r="Y166" s="22">
        <f t="shared" si="31"/>
        <v>12120000</v>
      </c>
      <c r="Z166" s="41">
        <f t="shared" si="32"/>
        <v>0</v>
      </c>
    </row>
    <row r="167" spans="1:26" ht="45" customHeight="1">
      <c r="A167" s="1"/>
      <c r="B167" s="20"/>
      <c r="C167" s="59" t="s">
        <v>72</v>
      </c>
      <c r="D167" s="62">
        <f t="shared" si="29"/>
        <v>18000000</v>
      </c>
      <c r="E167" s="26"/>
      <c r="F167" s="62">
        <f t="shared" si="30"/>
        <v>18000000</v>
      </c>
      <c r="G167" s="62">
        <v>18000000</v>
      </c>
      <c r="H167" s="63">
        <f>4351772.44+7541+3400000</f>
        <v>7759313.44</v>
      </c>
      <c r="I167" s="50">
        <f>H167/G167*100</f>
        <v>43.10729688888889</v>
      </c>
      <c r="J167" s="50">
        <f t="shared" si="33"/>
        <v>99.99280787063132</v>
      </c>
      <c r="L167" s="73">
        <f t="shared" si="28"/>
        <v>-558.0999999996275</v>
      </c>
      <c r="M167" s="62"/>
      <c r="N167" s="62"/>
      <c r="O167" s="62">
        <v>5644871.54</v>
      </c>
      <c r="P167" s="62">
        <f>-3000000+1710000</f>
        <v>-1290000</v>
      </c>
      <c r="Q167" s="62">
        <f>5000+3400000</f>
        <v>3405000</v>
      </c>
      <c r="R167" s="62"/>
      <c r="S167" s="62">
        <f>3355128.46+3000000-1710000-5000-3400000</f>
        <v>1240128.46</v>
      </c>
      <c r="T167" s="62"/>
      <c r="U167" s="62"/>
      <c r="V167" s="62">
        <v>3000000</v>
      </c>
      <c r="W167" s="62">
        <v>3000000</v>
      </c>
      <c r="X167" s="62">
        <v>3000000</v>
      </c>
      <c r="Y167" s="22">
        <f t="shared" si="31"/>
        <v>18000000</v>
      </c>
      <c r="Z167" s="41">
        <f t="shared" si="32"/>
        <v>0</v>
      </c>
    </row>
    <row r="168" spans="1:26" ht="45" customHeight="1">
      <c r="A168" s="1"/>
      <c r="B168" s="20"/>
      <c r="C168" s="59" t="s">
        <v>73</v>
      </c>
      <c r="D168" s="62">
        <f t="shared" si="29"/>
        <v>8000000</v>
      </c>
      <c r="E168" s="26"/>
      <c r="F168" s="62">
        <f t="shared" si="30"/>
        <v>8000000</v>
      </c>
      <c r="G168" s="62">
        <v>8000000</v>
      </c>
      <c r="H168" s="63">
        <f>3875000+140381</f>
        <v>4015381</v>
      </c>
      <c r="I168" s="50">
        <f>H168/G168*100</f>
        <v>50.1922625</v>
      </c>
      <c r="J168" s="50">
        <f t="shared" si="33"/>
        <v>99.98458665338646</v>
      </c>
      <c r="L168" s="73">
        <f t="shared" si="28"/>
        <v>-619</v>
      </c>
      <c r="M168" s="62"/>
      <c r="N168" s="62"/>
      <c r="O168" s="62">
        <v>3875000</v>
      </c>
      <c r="P168" s="62"/>
      <c r="Q168" s="62">
        <v>141000</v>
      </c>
      <c r="R168" s="62"/>
      <c r="S168" s="62">
        <f>2091666.54-2091666.54</f>
        <v>0</v>
      </c>
      <c r="T168" s="62">
        <f>1908333.46-1783333.46</f>
        <v>125000</v>
      </c>
      <c r="U168" s="62"/>
      <c r="V168" s="62"/>
      <c r="W168" s="62">
        <f>2000000-141000</f>
        <v>1859000</v>
      </c>
      <c r="X168" s="62">
        <v>2000000</v>
      </c>
      <c r="Y168" s="22">
        <f t="shared" si="31"/>
        <v>8000000</v>
      </c>
      <c r="Z168" s="41">
        <f t="shared" si="32"/>
        <v>0</v>
      </c>
    </row>
    <row r="169" spans="1:26" ht="45" customHeight="1">
      <c r="A169" s="1"/>
      <c r="B169" s="20"/>
      <c r="C169" s="59" t="s">
        <v>74</v>
      </c>
      <c r="D169" s="62">
        <f t="shared" si="29"/>
        <v>1000000</v>
      </c>
      <c r="E169" s="26"/>
      <c r="F169" s="62">
        <f t="shared" si="30"/>
        <v>1000000</v>
      </c>
      <c r="G169" s="62">
        <v>1000000</v>
      </c>
      <c r="H169" s="24">
        <f>98383</f>
        <v>98383</v>
      </c>
      <c r="I169" s="48"/>
      <c r="J169" s="66">
        <f t="shared" si="33"/>
        <v>98.383</v>
      </c>
      <c r="L169" s="73">
        <f t="shared" si="28"/>
        <v>-1617</v>
      </c>
      <c r="M169" s="51"/>
      <c r="N169" s="51"/>
      <c r="O169" s="51"/>
      <c r="P169" s="51"/>
      <c r="Q169" s="51">
        <v>100000</v>
      </c>
      <c r="R169" s="51"/>
      <c r="S169" s="51"/>
      <c r="T169" s="51"/>
      <c r="U169" s="51"/>
      <c r="V169" s="51">
        <v>400000</v>
      </c>
      <c r="W169" s="51"/>
      <c r="X169" s="51">
        <v>500000</v>
      </c>
      <c r="Y169" s="22">
        <f t="shared" si="31"/>
        <v>1000000</v>
      </c>
      <c r="Z169" s="41">
        <f t="shared" si="32"/>
        <v>0</v>
      </c>
    </row>
    <row r="170" spans="1:26" ht="24" customHeight="1">
      <c r="A170" s="1"/>
      <c r="B170" s="20"/>
      <c r="C170" s="61" t="s">
        <v>75</v>
      </c>
      <c r="D170" s="62">
        <f t="shared" si="29"/>
        <v>500000</v>
      </c>
      <c r="E170" s="26"/>
      <c r="F170" s="62">
        <f t="shared" si="30"/>
        <v>500000</v>
      </c>
      <c r="G170" s="64">
        <v>500000</v>
      </c>
      <c r="H170" s="24"/>
      <c r="I170" s="48"/>
      <c r="J170" s="66" t="e">
        <f t="shared" si="33"/>
        <v>#DIV/0!</v>
      </c>
      <c r="L170" s="73">
        <f t="shared" si="28"/>
        <v>0</v>
      </c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>
        <v>250000</v>
      </c>
      <c r="X170" s="51">
        <v>250000</v>
      </c>
      <c r="Y170" s="22">
        <f t="shared" si="31"/>
        <v>500000</v>
      </c>
      <c r="Z170" s="41">
        <f t="shared" si="32"/>
        <v>0</v>
      </c>
    </row>
    <row r="171" spans="1:26" ht="24.75" customHeight="1">
      <c r="A171" s="1"/>
      <c r="B171" s="20"/>
      <c r="C171" s="61" t="s">
        <v>76</v>
      </c>
      <c r="D171" s="62">
        <f t="shared" si="29"/>
        <v>1295000</v>
      </c>
      <c r="E171" s="26"/>
      <c r="F171" s="62">
        <f t="shared" si="30"/>
        <v>1295000</v>
      </c>
      <c r="G171" s="64">
        <f>5000000-500000-200000-3005000</f>
        <v>1295000</v>
      </c>
      <c r="H171" s="24"/>
      <c r="I171" s="48"/>
      <c r="J171" s="66" t="e">
        <f t="shared" si="33"/>
        <v>#DIV/0!</v>
      </c>
      <c r="L171" s="73">
        <f t="shared" si="28"/>
        <v>0</v>
      </c>
      <c r="M171" s="51"/>
      <c r="N171" s="51"/>
      <c r="O171" s="51"/>
      <c r="P171" s="51"/>
      <c r="Q171" s="51"/>
      <c r="R171" s="51"/>
      <c r="S171" s="51">
        <f>100000</f>
        <v>100000</v>
      </c>
      <c r="T171" s="51"/>
      <c r="U171" s="51"/>
      <c r="V171" s="51"/>
      <c r="W171" s="51"/>
      <c r="X171" s="51">
        <f>1195000</f>
        <v>1195000</v>
      </c>
      <c r="Y171" s="22">
        <f t="shared" si="31"/>
        <v>1295000</v>
      </c>
      <c r="Z171" s="41">
        <f t="shared" si="32"/>
        <v>0</v>
      </c>
    </row>
    <row r="172" spans="1:26" ht="18">
      <c r="A172" s="28"/>
      <c r="B172" s="17"/>
      <c r="C172" s="29" t="s">
        <v>6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95595238.2</v>
      </c>
      <c r="I172" s="45">
        <f>H172/D172*100</f>
        <v>32.815624772289496</v>
      </c>
      <c r="J172" s="43">
        <f>H172/(M172+N172+O172+P172+Q172)*100</f>
        <v>91.6684677461158</v>
      </c>
      <c r="L172" s="73">
        <f t="shared" si="28"/>
        <v>-16517308.530000001</v>
      </c>
      <c r="M172" s="51">
        <f>M9+M139</f>
        <v>5500800</v>
      </c>
      <c r="N172" s="51">
        <f aca="true" t="shared" si="34" ref="N172:X172">N9+N26+N139</f>
        <v>7474745</v>
      </c>
      <c r="O172" s="51">
        <f t="shared" si="34"/>
        <v>53807055.42</v>
      </c>
      <c r="P172" s="51">
        <f t="shared" si="34"/>
        <v>21619022</v>
      </c>
      <c r="Q172" s="51">
        <f t="shared" si="34"/>
        <v>15882043</v>
      </c>
      <c r="R172" s="51">
        <f t="shared" si="34"/>
        <v>7828881.31</v>
      </c>
      <c r="S172" s="51">
        <f t="shared" si="34"/>
        <v>23090727.15</v>
      </c>
      <c r="T172" s="51">
        <f t="shared" si="34"/>
        <v>40817379.120000005</v>
      </c>
      <c r="U172" s="51">
        <f t="shared" si="34"/>
        <v>23189321</v>
      </c>
      <c r="V172" s="51">
        <f t="shared" si="34"/>
        <v>32026422</v>
      </c>
      <c r="W172" s="51">
        <f t="shared" si="34"/>
        <v>28092652</v>
      </c>
      <c r="X172" s="51">
        <f t="shared" si="34"/>
        <v>31981079</v>
      </c>
      <c r="Y172" s="22">
        <f>SUM(M172:X172)</f>
        <v>291310127</v>
      </c>
      <c r="Z172" s="41">
        <f>Y172-D172</f>
        <v>0</v>
      </c>
    </row>
    <row r="173" spans="1:12" ht="18">
      <c r="A173" s="33"/>
      <c r="B173" s="34"/>
      <c r="C173" s="35"/>
      <c r="D173" s="36"/>
      <c r="E173" s="36"/>
      <c r="F173" s="36"/>
      <c r="G173" s="36"/>
      <c r="L173" s="30"/>
    </row>
    <row r="174" spans="1:6" ht="18">
      <c r="A174" s="2"/>
      <c r="B174" s="30"/>
      <c r="C174" s="31"/>
      <c r="D174" s="3"/>
      <c r="E174" s="30"/>
      <c r="F174" s="30"/>
    </row>
  </sheetData>
  <sheetProtection/>
  <mergeCells count="28"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  <mergeCell ref="J5:J6"/>
    <mergeCell ref="J11:J17"/>
    <mergeCell ref="H5:H6"/>
    <mergeCell ref="I5:I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2017-02-07T07:44:25Z</cp:lastPrinted>
  <dcterms:created xsi:type="dcterms:W3CDTF">2014-01-17T10:52:16Z</dcterms:created>
  <dcterms:modified xsi:type="dcterms:W3CDTF">2017-06-14T05:14:21Z</dcterms:modified>
  <cp:category/>
  <cp:version/>
  <cp:contentType/>
  <cp:contentStatus/>
</cp:coreProperties>
</file>